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D:\DOCUMENTOS\ARGELIA\ENTREGA FINAL\"/>
    </mc:Choice>
  </mc:AlternateContent>
  <xr:revisionPtr revIDLastSave="0" documentId="13_ncr:1_{C6B30E70-D37A-41C8-9D25-CA88E0FF508E}" xr6:coauthVersionLast="45" xr6:coauthVersionMax="45" xr10:uidLastSave="{00000000-0000-0000-0000-000000000000}"/>
  <bookViews>
    <workbookView xWindow="-120" yWindow="-120" windowWidth="20730" windowHeight="11160" activeTab="1" xr2:uid="{10EF6B3E-B9C4-4738-9FFE-066FD4C035FC}"/>
  </bookViews>
  <sheets>
    <sheet name="INICIAL" sheetId="2" r:id="rId1"/>
    <sheet name="AJUSTADO" sheetId="12" r:id="rId2"/>
    <sheet name="COMPARATIVO" sheetId="3" r:id="rId3"/>
    <sheet name="PTO obra" sheetId="13" r:id="rId4"/>
    <sheet name="INTERVENTORIA" sheetId="6" r:id="rId5"/>
    <sheet name="GERENCIA" sheetId="7" r:id="rId6"/>
    <sheet name="PMA" sheetId="9" r:id="rId7"/>
    <sheet name="FIDUCIA" sheetId="8" r:id="rId8"/>
  </sheets>
  <externalReferences>
    <externalReference r:id="rId9"/>
  </externalReferences>
  <definedNames>
    <definedName name="_xlnm.Print_Area" localSheetId="1">AJUSTADO!$A$1:$F$29</definedName>
    <definedName name="_xlnm.Print_Area" localSheetId="2">COMPARATIVO!$A$1:$E$27</definedName>
    <definedName name="_xlnm.Print_Area" localSheetId="7">FIDUCIA!$A$1:$J$20</definedName>
    <definedName name="_xlnm.Print_Area" localSheetId="5">GERENCIA!$A$1:$Q$52</definedName>
    <definedName name="_xlnm.Print_Area" localSheetId="0">INICIAL!$A$1:$F$28</definedName>
    <definedName name="_xlnm.Print_Area" localSheetId="4">INTERVENTORIA!$A$1:$P$55</definedName>
    <definedName name="_xlnm.Print_Area" localSheetId="6">PMA!$A$1:$W$27</definedName>
    <definedName name="_xlnm.Print_Area" localSheetId="3">'PTO obra'!$A$2:$O$164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0" i="12" l="1"/>
  <c r="D36" i="12"/>
  <c r="D34" i="12"/>
  <c r="D33" i="12"/>
  <c r="D32" i="12"/>
  <c r="D31" i="12"/>
  <c r="D30" i="12"/>
  <c r="D35" i="12"/>
  <c r="N143" i="13"/>
  <c r="N113" i="13"/>
  <c r="N84" i="13"/>
  <c r="N55" i="13"/>
  <c r="N26" i="13"/>
  <c r="N155" i="13"/>
  <c r="E40" i="12"/>
  <c r="E39" i="12" l="1"/>
  <c r="E38" i="12"/>
  <c r="E37" i="12"/>
  <c r="E43" i="12" l="1"/>
  <c r="P19" i="6"/>
  <c r="P20" i="6"/>
  <c r="P21" i="6"/>
  <c r="P22" i="6"/>
  <c r="P18" i="6"/>
  <c r="N10" i="6"/>
  <c r="P10" i="6" s="1"/>
  <c r="N11" i="6"/>
  <c r="N12" i="6"/>
  <c r="N14" i="6"/>
  <c r="K22" i="6"/>
  <c r="K18" i="6"/>
  <c r="I11" i="6"/>
  <c r="I12" i="6"/>
  <c r="I14" i="6"/>
  <c r="I10" i="6"/>
  <c r="K19" i="6"/>
  <c r="K20" i="6"/>
  <c r="K21" i="6"/>
  <c r="L14" i="6"/>
  <c r="L11" i="6"/>
  <c r="L12" i="6" s="1"/>
  <c r="E30" i="3" l="1"/>
  <c r="F30" i="3" s="1"/>
  <c r="M27" i="13"/>
  <c r="M35" i="13"/>
  <c r="M36" i="13"/>
  <c r="M56" i="13"/>
  <c r="M64" i="13"/>
  <c r="M65" i="13"/>
  <c r="M85" i="13"/>
  <c r="M93" i="13"/>
  <c r="M94" i="13"/>
  <c r="M114" i="13"/>
  <c r="M122" i="13"/>
  <c r="M123" i="13"/>
  <c r="M144" i="13"/>
  <c r="H163" i="13" l="1"/>
  <c r="H162" i="13"/>
  <c r="H161" i="13"/>
  <c r="H160" i="13"/>
  <c r="H159" i="13"/>
  <c r="H157" i="13"/>
  <c r="H158" i="13"/>
  <c r="H156" i="13"/>
  <c r="H155" i="13"/>
  <c r="H150" i="13"/>
  <c r="H151" i="13" s="1"/>
  <c r="H143" i="13"/>
  <c r="H142" i="13"/>
  <c r="H139" i="13"/>
  <c r="H138" i="13"/>
  <c r="H136" i="13"/>
  <c r="H141" i="13"/>
  <c r="H134" i="13"/>
  <c r="H131" i="13"/>
  <c r="H128" i="13"/>
  <c r="H127" i="13"/>
  <c r="H124" i="13"/>
  <c r="H120" i="13"/>
  <c r="H121" i="13" s="1"/>
  <c r="H113" i="13"/>
  <c r="H106" i="13"/>
  <c r="H104" i="13"/>
  <c r="H98" i="13"/>
  <c r="H97" i="13"/>
  <c r="H96" i="13"/>
  <c r="H91" i="13"/>
  <c r="H92" i="13" s="1"/>
  <c r="H84" i="13"/>
  <c r="H62" i="13"/>
  <c r="H63" i="13" s="1"/>
  <c r="H55" i="13"/>
  <c r="H149" i="13"/>
  <c r="H148" i="13"/>
  <c r="H147" i="13"/>
  <c r="H146" i="13"/>
  <c r="H145" i="13"/>
  <c r="H137" i="13"/>
  <c r="H135" i="13"/>
  <c r="H133" i="13"/>
  <c r="H132" i="13"/>
  <c r="H130" i="13"/>
  <c r="H129" i="13"/>
  <c r="H126" i="13"/>
  <c r="H125" i="13"/>
  <c r="H119" i="13"/>
  <c r="H118" i="13"/>
  <c r="H117" i="13"/>
  <c r="H116" i="13"/>
  <c r="H115" i="13"/>
  <c r="H110" i="13"/>
  <c r="H109" i="13"/>
  <c r="H108" i="13"/>
  <c r="H107" i="13"/>
  <c r="H105" i="13"/>
  <c r="H103" i="13"/>
  <c r="H102" i="13"/>
  <c r="H101" i="13"/>
  <c r="H100" i="13"/>
  <c r="H99" i="13"/>
  <c r="H95" i="13"/>
  <c r="H90" i="13"/>
  <c r="H89" i="13"/>
  <c r="H88" i="13"/>
  <c r="H87" i="13"/>
  <c r="H86" i="13"/>
  <c r="H83" i="13"/>
  <c r="H82" i="13"/>
  <c r="H81" i="13"/>
  <c r="H80" i="13"/>
  <c r="H79" i="13"/>
  <c r="H78" i="13"/>
  <c r="H77" i="13"/>
  <c r="H76" i="13"/>
  <c r="H75" i="13"/>
  <c r="H74" i="13"/>
  <c r="H73" i="13"/>
  <c r="H72" i="13"/>
  <c r="H71" i="13"/>
  <c r="H70" i="13"/>
  <c r="H69" i="13"/>
  <c r="H68" i="13"/>
  <c r="H67" i="13"/>
  <c r="H66" i="13"/>
  <c r="H61" i="13"/>
  <c r="H60" i="13"/>
  <c r="H59" i="13"/>
  <c r="H58" i="13"/>
  <c r="H57" i="13"/>
  <c r="H56" i="13"/>
  <c r="H54" i="13"/>
  <c r="H53" i="13"/>
  <c r="H52" i="13"/>
  <c r="H51" i="13"/>
  <c r="H50" i="13"/>
  <c r="H49" i="13"/>
  <c r="H48" i="13"/>
  <c r="H47" i="13"/>
  <c r="H46" i="13"/>
  <c r="H45" i="13"/>
  <c r="H44" i="13"/>
  <c r="H43" i="13"/>
  <c r="H42" i="13"/>
  <c r="H41" i="13"/>
  <c r="H40" i="13"/>
  <c r="H39" i="13"/>
  <c r="H38" i="13"/>
  <c r="H37" i="13"/>
  <c r="H34" i="13"/>
  <c r="H26" i="13"/>
  <c r="H33" i="13"/>
  <c r="H9" i="13"/>
  <c r="H10" i="13"/>
  <c r="H11" i="13"/>
  <c r="H12" i="13"/>
  <c r="H13" i="13"/>
  <c r="H14" i="13"/>
  <c r="H15" i="13"/>
  <c r="H16" i="13"/>
  <c r="H17" i="13"/>
  <c r="H18" i="13"/>
  <c r="H19" i="13"/>
  <c r="H20" i="13"/>
  <c r="H21" i="13"/>
  <c r="H22" i="13"/>
  <c r="H23" i="13"/>
  <c r="H24" i="13"/>
  <c r="H25" i="13"/>
  <c r="H27" i="13"/>
  <c r="H28" i="13"/>
  <c r="H29" i="13"/>
  <c r="H30" i="13"/>
  <c r="H31" i="13"/>
  <c r="H32" i="13"/>
  <c r="H8" i="13"/>
  <c r="J5" i="9"/>
  <c r="O5" i="9"/>
  <c r="O16" i="9" s="1"/>
  <c r="O15" i="9"/>
  <c r="O14" i="9"/>
  <c r="O13" i="9"/>
  <c r="O12" i="9"/>
  <c r="O11" i="9"/>
  <c r="O10" i="9"/>
  <c r="O9" i="9"/>
  <c r="O8" i="9"/>
  <c r="O7" i="9"/>
  <c r="O6" i="9"/>
  <c r="K153" i="13"/>
  <c r="I149" i="13"/>
  <c r="I148" i="13"/>
  <c r="I145" i="13"/>
  <c r="I146" i="13" s="1"/>
  <c r="J142" i="13"/>
  <c r="I142" i="13"/>
  <c r="I140" i="13"/>
  <c r="I141" i="13" s="1"/>
  <c r="I139" i="13"/>
  <c r="I138" i="13"/>
  <c r="I137" i="13"/>
  <c r="I136" i="13"/>
  <c r="I131" i="13"/>
  <c r="I128" i="13"/>
  <c r="I127" i="13"/>
  <c r="I125" i="13"/>
  <c r="I124" i="13"/>
  <c r="I134" i="13" s="1"/>
  <c r="I119" i="13"/>
  <c r="I118" i="13"/>
  <c r="I115" i="13"/>
  <c r="I116" i="13" s="1"/>
  <c r="I110" i="13"/>
  <c r="I109" i="13"/>
  <c r="I108" i="13"/>
  <c r="I107" i="13"/>
  <c r="I106" i="13"/>
  <c r="I111" i="13" s="1"/>
  <c r="I112" i="13" s="1"/>
  <c r="I104" i="13"/>
  <c r="I103" i="13"/>
  <c r="I102" i="13"/>
  <c r="I101" i="13"/>
  <c r="I100" i="13"/>
  <c r="I99" i="13"/>
  <c r="I98" i="13"/>
  <c r="I97" i="13"/>
  <c r="I96" i="13"/>
  <c r="I95" i="13"/>
  <c r="I117" i="13" s="1"/>
  <c r="I90" i="13"/>
  <c r="I89" i="13"/>
  <c r="I86" i="13"/>
  <c r="I87" i="13" s="1"/>
  <c r="I81" i="13"/>
  <c r="I80" i="13"/>
  <c r="I79" i="13"/>
  <c r="I78" i="13"/>
  <c r="I77" i="13"/>
  <c r="I82" i="13" s="1"/>
  <c r="I83" i="13" s="1"/>
  <c r="I74" i="13"/>
  <c r="I73" i="13"/>
  <c r="I70" i="13"/>
  <c r="I69" i="13"/>
  <c r="I67" i="13"/>
  <c r="I66" i="13"/>
  <c r="I88" i="13" s="1"/>
  <c r="I61" i="13"/>
  <c r="I60" i="13"/>
  <c r="I57" i="13"/>
  <c r="I58" i="13" s="1"/>
  <c r="I52" i="13"/>
  <c r="I51" i="13"/>
  <c r="I50" i="13"/>
  <c r="I49" i="13"/>
  <c r="I48" i="13"/>
  <c r="I53" i="13" s="1"/>
  <c r="I54" i="13" s="1"/>
  <c r="I46" i="13"/>
  <c r="I45" i="13"/>
  <c r="I44" i="13"/>
  <c r="I42" i="13"/>
  <c r="I41" i="13"/>
  <c r="I40" i="13"/>
  <c r="I38" i="13"/>
  <c r="I37" i="13"/>
  <c r="I59" i="13" s="1"/>
  <c r="J32" i="13"/>
  <c r="J61" i="13" s="1"/>
  <c r="I32" i="13"/>
  <c r="J31" i="13"/>
  <c r="J60" i="13" s="1"/>
  <c r="I31" i="13"/>
  <c r="J30" i="13"/>
  <c r="J59" i="13" s="1"/>
  <c r="J88" i="13" s="1"/>
  <c r="J29" i="13"/>
  <c r="J58" i="13" s="1"/>
  <c r="J28" i="13"/>
  <c r="J57" i="13" s="1"/>
  <c r="I28" i="13"/>
  <c r="I29" i="13" s="1"/>
  <c r="J25" i="13"/>
  <c r="J54" i="13" s="1"/>
  <c r="J24" i="13"/>
  <c r="J53" i="13" s="1"/>
  <c r="J23" i="13"/>
  <c r="J52" i="13" s="1"/>
  <c r="I23" i="13"/>
  <c r="J22" i="13"/>
  <c r="J51" i="13" s="1"/>
  <c r="I22" i="13"/>
  <c r="J21" i="13"/>
  <c r="I21" i="13"/>
  <c r="J20" i="13"/>
  <c r="J49" i="13" s="1"/>
  <c r="I20" i="13"/>
  <c r="J19" i="13"/>
  <c r="J48" i="13" s="1"/>
  <c r="I19" i="13"/>
  <c r="I24" i="13" s="1"/>
  <c r="J18" i="13"/>
  <c r="J17" i="13"/>
  <c r="J46" i="13" s="1"/>
  <c r="I17" i="13"/>
  <c r="J16" i="13"/>
  <c r="J45" i="13" s="1"/>
  <c r="I16" i="13"/>
  <c r="J15" i="13"/>
  <c r="J44" i="13" s="1"/>
  <c r="I15" i="13"/>
  <c r="J14" i="13"/>
  <c r="J43" i="13" s="1"/>
  <c r="I14" i="13"/>
  <c r="J13" i="13"/>
  <c r="J42" i="13" s="1"/>
  <c r="I13" i="13"/>
  <c r="J12" i="13"/>
  <c r="I12" i="13"/>
  <c r="J11" i="13"/>
  <c r="J40" i="13" s="1"/>
  <c r="J10" i="13"/>
  <c r="J39" i="13" s="1"/>
  <c r="I10" i="13"/>
  <c r="J9" i="13"/>
  <c r="J38" i="13" s="1"/>
  <c r="I9" i="13"/>
  <c r="J8" i="13"/>
  <c r="J37" i="13" s="1"/>
  <c r="I8" i="13"/>
  <c r="I30" i="13" s="1"/>
  <c r="J13" i="8"/>
  <c r="E10" i="8"/>
  <c r="H10" i="8"/>
  <c r="J10" i="8" s="1"/>
  <c r="J11" i="8" s="1"/>
  <c r="J12" i="8" s="1"/>
  <c r="G10" i="7"/>
  <c r="O10" i="7"/>
  <c r="K9" i="13" l="1"/>
  <c r="M9" i="13" s="1"/>
  <c r="K32" i="13"/>
  <c r="M32" i="13" s="1"/>
  <c r="I76" i="13"/>
  <c r="K16" i="13"/>
  <c r="M16" i="13" s="1"/>
  <c r="H140" i="13"/>
  <c r="H112" i="13"/>
  <c r="H111" i="13"/>
  <c r="K15" i="13"/>
  <c r="M15" i="13" s="1"/>
  <c r="K142" i="13"/>
  <c r="M142" i="13" s="1"/>
  <c r="I147" i="13"/>
  <c r="K12" i="13"/>
  <c r="M12" i="13" s="1"/>
  <c r="K23" i="13"/>
  <c r="M23" i="13" s="1"/>
  <c r="K29" i="13"/>
  <c r="M29" i="13" s="1"/>
  <c r="K8" i="13"/>
  <c r="M8" i="13" s="1"/>
  <c r="K61" i="13"/>
  <c r="M61" i="13" s="1"/>
  <c r="I105" i="13"/>
  <c r="K21" i="13"/>
  <c r="M21" i="13" s="1"/>
  <c r="I18" i="13"/>
  <c r="K18" i="13" s="1"/>
  <c r="M18" i="13" s="1"/>
  <c r="K28" i="13"/>
  <c r="M28" i="13" s="1"/>
  <c r="J90" i="13"/>
  <c r="I47" i="13"/>
  <c r="J73" i="13"/>
  <c r="K44" i="13"/>
  <c r="M44" i="13" s="1"/>
  <c r="J67" i="13"/>
  <c r="K38" i="13"/>
  <c r="M38" i="13" s="1"/>
  <c r="K24" i="13"/>
  <c r="M24" i="13" s="1"/>
  <c r="I25" i="13"/>
  <c r="J82" i="13"/>
  <c r="K53" i="13"/>
  <c r="M53" i="13" s="1"/>
  <c r="K42" i="13"/>
  <c r="M42" i="13" s="1"/>
  <c r="J71" i="13"/>
  <c r="K48" i="13"/>
  <c r="M48" i="13" s="1"/>
  <c r="J77" i="13"/>
  <c r="K54" i="13"/>
  <c r="M54" i="13" s="1"/>
  <c r="J83" i="13"/>
  <c r="K45" i="13"/>
  <c r="M45" i="13" s="1"/>
  <c r="J74" i="13"/>
  <c r="K51" i="13"/>
  <c r="M51" i="13" s="1"/>
  <c r="J80" i="13"/>
  <c r="K58" i="13"/>
  <c r="M58" i="13" s="1"/>
  <c r="J87" i="13"/>
  <c r="K88" i="13"/>
  <c r="M88" i="13" s="1"/>
  <c r="J117" i="13"/>
  <c r="J89" i="13"/>
  <c r="K60" i="13"/>
  <c r="M60" i="13" s="1"/>
  <c r="J86" i="13"/>
  <c r="K57" i="13"/>
  <c r="M57" i="13" s="1"/>
  <c r="K39" i="13"/>
  <c r="M39" i="13" s="1"/>
  <c r="J68" i="13"/>
  <c r="K43" i="13"/>
  <c r="M43" i="13" s="1"/>
  <c r="J72" i="13"/>
  <c r="K37" i="13"/>
  <c r="M37" i="13" s="1"/>
  <c r="J66" i="13"/>
  <c r="K40" i="13"/>
  <c r="M40" i="13" s="1"/>
  <c r="J69" i="13"/>
  <c r="J78" i="13"/>
  <c r="K49" i="13"/>
  <c r="M49" i="13" s="1"/>
  <c r="K30" i="13"/>
  <c r="M30" i="13" s="1"/>
  <c r="K46" i="13"/>
  <c r="M46" i="13" s="1"/>
  <c r="J75" i="13"/>
  <c r="J81" i="13"/>
  <c r="K52" i="13"/>
  <c r="M52" i="13" s="1"/>
  <c r="J41" i="13"/>
  <c r="K31" i="13"/>
  <c r="M31" i="13" s="1"/>
  <c r="J47" i="13"/>
  <c r="K59" i="13"/>
  <c r="M59" i="13" s="1"/>
  <c r="K22" i="13"/>
  <c r="M22" i="13" s="1"/>
  <c r="K13" i="13"/>
  <c r="M13" i="13" s="1"/>
  <c r="K10" i="13"/>
  <c r="M10" i="13" s="1"/>
  <c r="K17" i="13"/>
  <c r="M17" i="13" s="1"/>
  <c r="J50" i="13"/>
  <c r="K14" i="13"/>
  <c r="M14" i="13" s="1"/>
  <c r="K20" i="13"/>
  <c r="M20" i="13" s="1"/>
  <c r="K11" i="13"/>
  <c r="M11" i="13" s="1"/>
  <c r="K19" i="13"/>
  <c r="M19" i="13" s="1"/>
  <c r="J119" i="13" l="1"/>
  <c r="K90" i="13"/>
  <c r="M90" i="13" s="1"/>
  <c r="K33" i="13"/>
  <c r="K69" i="13"/>
  <c r="M69" i="13" s="1"/>
  <c r="J98" i="13"/>
  <c r="J97" i="13"/>
  <c r="K68" i="13"/>
  <c r="M68" i="13" s="1"/>
  <c r="J79" i="13"/>
  <c r="K50" i="13"/>
  <c r="M50" i="13" s="1"/>
  <c r="J70" i="13"/>
  <c r="K41" i="13"/>
  <c r="M41" i="13" s="1"/>
  <c r="J100" i="13"/>
  <c r="K71" i="13"/>
  <c r="M71" i="13" s="1"/>
  <c r="K81" i="13"/>
  <c r="M81" i="13" s="1"/>
  <c r="J110" i="13"/>
  <c r="K86" i="13"/>
  <c r="M86" i="13" s="1"/>
  <c r="J115" i="13"/>
  <c r="J118" i="13"/>
  <c r="K89" i="13"/>
  <c r="M89" i="13" s="1"/>
  <c r="K80" i="13"/>
  <c r="M80" i="13" s="1"/>
  <c r="J109" i="13"/>
  <c r="K83" i="13"/>
  <c r="M83" i="13" s="1"/>
  <c r="J112" i="13"/>
  <c r="K75" i="13"/>
  <c r="M75" i="13" s="1"/>
  <c r="J104" i="13"/>
  <c r="K78" i="13"/>
  <c r="M78" i="13" s="1"/>
  <c r="J107" i="13"/>
  <c r="J111" i="13"/>
  <c r="K82" i="13"/>
  <c r="M82" i="13" s="1"/>
  <c r="K67" i="13"/>
  <c r="M67" i="13" s="1"/>
  <c r="J96" i="13"/>
  <c r="K72" i="13"/>
  <c r="M72" i="13" s="1"/>
  <c r="J101" i="13"/>
  <c r="J103" i="13"/>
  <c r="K74" i="13"/>
  <c r="M74" i="13" s="1"/>
  <c r="K77" i="13"/>
  <c r="M77" i="13" s="1"/>
  <c r="J106" i="13"/>
  <c r="J76" i="13"/>
  <c r="K47" i="13"/>
  <c r="M47" i="13" s="1"/>
  <c r="K117" i="13"/>
  <c r="M117" i="13" s="1"/>
  <c r="J147" i="13"/>
  <c r="K147" i="13" s="1"/>
  <c r="M147" i="13" s="1"/>
  <c r="K25" i="13"/>
  <c r="K87" i="13"/>
  <c r="M87" i="13" s="1"/>
  <c r="J116" i="13"/>
  <c r="J95" i="13"/>
  <c r="K66" i="13"/>
  <c r="M66" i="13" s="1"/>
  <c r="K62" i="13"/>
  <c r="K73" i="13"/>
  <c r="M73" i="13" s="1"/>
  <c r="J102" i="13"/>
  <c r="K26" i="13" l="1"/>
  <c r="M25" i="13"/>
  <c r="K91" i="13"/>
  <c r="J149" i="13"/>
  <c r="K149" i="13" s="1"/>
  <c r="M149" i="13" s="1"/>
  <c r="K119" i="13"/>
  <c r="M119" i="13" s="1"/>
  <c r="J133" i="13"/>
  <c r="K133" i="13" s="1"/>
  <c r="M133" i="13" s="1"/>
  <c r="K104" i="13"/>
  <c r="M104" i="13" s="1"/>
  <c r="J138" i="13"/>
  <c r="K138" i="13" s="1"/>
  <c r="M138" i="13" s="1"/>
  <c r="K109" i="13"/>
  <c r="M109" i="13" s="1"/>
  <c r="K76" i="13"/>
  <c r="M76" i="13" s="1"/>
  <c r="J105" i="13"/>
  <c r="K102" i="13"/>
  <c r="M102" i="13" s="1"/>
  <c r="J131" i="13"/>
  <c r="K131" i="13" s="1"/>
  <c r="M131" i="13" s="1"/>
  <c r="J146" i="13"/>
  <c r="K146" i="13" s="1"/>
  <c r="M146" i="13" s="1"/>
  <c r="K116" i="13"/>
  <c r="M116" i="13" s="1"/>
  <c r="K96" i="13"/>
  <c r="M96" i="13" s="1"/>
  <c r="J125" i="13"/>
  <c r="K125" i="13" s="1"/>
  <c r="M125" i="13" s="1"/>
  <c r="K97" i="13"/>
  <c r="M97" i="13" s="1"/>
  <c r="J126" i="13"/>
  <c r="K126" i="13" s="1"/>
  <c r="M126" i="13" s="1"/>
  <c r="J135" i="13"/>
  <c r="K135" i="13" s="1"/>
  <c r="M135" i="13" s="1"/>
  <c r="K106" i="13"/>
  <c r="M106" i="13" s="1"/>
  <c r="J148" i="13"/>
  <c r="K148" i="13" s="1"/>
  <c r="M148" i="13" s="1"/>
  <c r="K118" i="13"/>
  <c r="M118" i="13" s="1"/>
  <c r="K100" i="13"/>
  <c r="M100" i="13" s="1"/>
  <c r="J129" i="13"/>
  <c r="K129" i="13" s="1"/>
  <c r="M129" i="13" s="1"/>
  <c r="J127" i="13"/>
  <c r="K127" i="13" s="1"/>
  <c r="M127" i="13" s="1"/>
  <c r="K98" i="13"/>
  <c r="M98" i="13" s="1"/>
  <c r="J141" i="13"/>
  <c r="K141" i="13" s="1"/>
  <c r="M141" i="13" s="1"/>
  <c r="K112" i="13"/>
  <c r="M112" i="13" s="1"/>
  <c r="K115" i="13"/>
  <c r="M115" i="13" s="1"/>
  <c r="J145" i="13"/>
  <c r="K145" i="13" s="1"/>
  <c r="M145" i="13" s="1"/>
  <c r="J140" i="13"/>
  <c r="K140" i="13" s="1"/>
  <c r="M140" i="13" s="1"/>
  <c r="K111" i="13"/>
  <c r="M111" i="13" s="1"/>
  <c r="K70" i="13"/>
  <c r="M70" i="13" s="1"/>
  <c r="J99" i="13"/>
  <c r="J124" i="13"/>
  <c r="K124" i="13" s="1"/>
  <c r="M124" i="13" s="1"/>
  <c r="K95" i="13"/>
  <c r="M95" i="13" s="1"/>
  <c r="J132" i="13"/>
  <c r="K132" i="13" s="1"/>
  <c r="M132" i="13" s="1"/>
  <c r="K103" i="13"/>
  <c r="M103" i="13" s="1"/>
  <c r="J136" i="13"/>
  <c r="K136" i="13" s="1"/>
  <c r="M136" i="13" s="1"/>
  <c r="K107" i="13"/>
  <c r="M107" i="13" s="1"/>
  <c r="K55" i="13"/>
  <c r="J130" i="13"/>
  <c r="K130" i="13" s="1"/>
  <c r="M130" i="13" s="1"/>
  <c r="K101" i="13"/>
  <c r="M101" i="13" s="1"/>
  <c r="J139" i="13"/>
  <c r="K139" i="13" s="1"/>
  <c r="M139" i="13" s="1"/>
  <c r="K110" i="13"/>
  <c r="M110" i="13" s="1"/>
  <c r="K79" i="13"/>
  <c r="M79" i="13" s="1"/>
  <c r="J108" i="13"/>
  <c r="K34" i="13"/>
  <c r="K84" i="13" l="1"/>
  <c r="K92" i="13" s="1"/>
  <c r="K120" i="13"/>
  <c r="K99" i="13"/>
  <c r="M99" i="13" s="1"/>
  <c r="J128" i="13"/>
  <c r="K128" i="13" s="1"/>
  <c r="M128" i="13" s="1"/>
  <c r="K105" i="13"/>
  <c r="M105" i="13" s="1"/>
  <c r="J134" i="13"/>
  <c r="K134" i="13" s="1"/>
  <c r="M134" i="13" s="1"/>
  <c r="K108" i="13"/>
  <c r="M108" i="13" s="1"/>
  <c r="J137" i="13"/>
  <c r="K137" i="13" s="1"/>
  <c r="M137" i="13" s="1"/>
  <c r="K150" i="13"/>
  <c r="K63" i="13"/>
  <c r="M155" i="13" l="1"/>
  <c r="E31" i="3" s="1"/>
  <c r="K113" i="13"/>
  <c r="K121" i="13" s="1"/>
  <c r="K143" i="13"/>
  <c r="M156" i="13" l="1"/>
  <c r="M158" i="13"/>
  <c r="M157" i="13"/>
  <c r="M159" i="13" s="1"/>
  <c r="K155" i="13"/>
  <c r="K151" i="13"/>
  <c r="M160" i="13" l="1"/>
  <c r="M161" i="13" s="1"/>
  <c r="K156" i="13"/>
  <c r="N156" i="13" s="1"/>
  <c r="K157" i="13"/>
  <c r="K158" i="13"/>
  <c r="N158" i="13" s="1"/>
  <c r="K159" i="13" l="1"/>
  <c r="N159" i="13" s="1"/>
  <c r="N157" i="13"/>
  <c r="K160" i="13" l="1"/>
  <c r="K161" i="13" s="1"/>
  <c r="Q21" i="7"/>
  <c r="Q20" i="7"/>
  <c r="Q19" i="7"/>
  <c r="Q18" i="7"/>
  <c r="N14" i="7"/>
  <c r="O14" i="7" s="1"/>
  <c r="Q14" i="7" s="1"/>
  <c r="N13" i="7"/>
  <c r="O13" i="7" s="1"/>
  <c r="Q13" i="7" s="1"/>
  <c r="Q10" i="7"/>
  <c r="N160" i="13" l="1"/>
  <c r="Q15" i="7"/>
  <c r="Q23" i="7" s="1"/>
  <c r="Q24" i="7" s="1"/>
  <c r="Q25" i="7" s="1"/>
  <c r="E29" i="3" s="1"/>
  <c r="N161" i="13"/>
  <c r="O14" i="6"/>
  <c r="O11" i="6"/>
  <c r="O12" i="6"/>
  <c r="O10" i="6"/>
  <c r="E12" i="3"/>
  <c r="E32" i="3" s="1"/>
  <c r="E13" i="3"/>
  <c r="E33" i="3" s="1"/>
  <c r="E6" i="3"/>
  <c r="E26" i="3" s="1"/>
  <c r="E17" i="12"/>
  <c r="E11" i="3" s="1"/>
  <c r="E16" i="12"/>
  <c r="E10" i="3" s="1"/>
  <c r="F10" i="3" s="1"/>
  <c r="D12" i="12"/>
  <c r="D11" i="12"/>
  <c r="D10" i="12"/>
  <c r="D9" i="12"/>
  <c r="D8" i="12"/>
  <c r="D7" i="12"/>
  <c r="P23" i="6" l="1"/>
  <c r="J15" i="9"/>
  <c r="J14" i="9"/>
  <c r="J13" i="9"/>
  <c r="J12" i="9"/>
  <c r="J11" i="9"/>
  <c r="J10" i="9"/>
  <c r="J9" i="9"/>
  <c r="J8" i="9"/>
  <c r="J7" i="9"/>
  <c r="J6" i="9"/>
  <c r="G10" i="8"/>
  <c r="G11" i="8" s="1"/>
  <c r="G12" i="8" s="1"/>
  <c r="G13" i="8" s="1"/>
  <c r="J20" i="7"/>
  <c r="J19" i="7"/>
  <c r="J18" i="7"/>
  <c r="G14" i="7"/>
  <c r="H14" i="7" s="1"/>
  <c r="J14" i="7" s="1"/>
  <c r="H10" i="7"/>
  <c r="J10" i="7" s="1"/>
  <c r="G11" i="6"/>
  <c r="G14" i="6"/>
  <c r="K23" i="6" l="1"/>
  <c r="J16" i="9"/>
  <c r="J21" i="7"/>
  <c r="K14" i="6"/>
  <c r="P14" i="6"/>
  <c r="G12" i="6"/>
  <c r="P11" i="6"/>
  <c r="G13" i="7"/>
  <c r="H13" i="7" s="1"/>
  <c r="J13" i="7" s="1"/>
  <c r="J15" i="7" s="1"/>
  <c r="J23" i="7" s="1"/>
  <c r="J24" i="7" s="1"/>
  <c r="J25" i="7" s="1"/>
  <c r="K11" i="6"/>
  <c r="K10" i="6"/>
  <c r="K12" i="6" l="1"/>
  <c r="K15" i="6" s="1"/>
  <c r="K25" i="6" s="1"/>
  <c r="K26" i="6" s="1"/>
  <c r="K27" i="6" s="1"/>
  <c r="P12" i="6"/>
  <c r="P15" i="6" s="1"/>
  <c r="P25" i="6" s="1"/>
  <c r="P26" i="6" s="1"/>
  <c r="P27" i="6" s="1"/>
  <c r="E28" i="3" s="1"/>
  <c r="F28" i="3" l="1"/>
  <c r="H28" i="3" s="1"/>
  <c r="F13" i="3"/>
  <c r="H13" i="3" s="1"/>
  <c r="D9" i="3"/>
  <c r="D29" i="3" s="1"/>
  <c r="F29" i="3" s="1"/>
  <c r="H29" i="3" s="1"/>
  <c r="D10" i="3"/>
  <c r="D11" i="3"/>
  <c r="D31" i="3" s="1"/>
  <c r="F31" i="3" s="1"/>
  <c r="H31" i="3" s="1"/>
  <c r="D12" i="3"/>
  <c r="D32" i="3" s="1"/>
  <c r="F32" i="3" s="1"/>
  <c r="H32" i="3" s="1"/>
  <c r="D13" i="3"/>
  <c r="D33" i="3" s="1"/>
  <c r="F33" i="3" s="1"/>
  <c r="H33" i="3" s="1"/>
  <c r="D8" i="3"/>
  <c r="D28" i="3" s="1"/>
  <c r="D7" i="3"/>
  <c r="D27" i="3" s="1"/>
  <c r="D6" i="3"/>
  <c r="D26" i="3" s="1"/>
  <c r="E19" i="2"/>
  <c r="D14" i="3" l="1"/>
  <c r="F12" i="3"/>
  <c r="H12" i="3" s="1"/>
  <c r="D30" i="3"/>
  <c r="H30" i="3" s="1"/>
  <c r="H10" i="3"/>
  <c r="F26" i="3"/>
  <c r="H26" i="3" s="1"/>
  <c r="D34" i="3"/>
  <c r="F6" i="3"/>
  <c r="H6" i="3" s="1"/>
  <c r="F11" i="3"/>
  <c r="H11" i="3" s="1"/>
  <c r="K162" i="13"/>
  <c r="M162" i="13" l="1"/>
  <c r="K163" i="13"/>
  <c r="D13" i="12"/>
  <c r="N162" i="13" l="1"/>
  <c r="M163" i="13"/>
  <c r="E27" i="3" s="1"/>
  <c r="E34" i="3" l="1"/>
  <c r="F27" i="3"/>
  <c r="N163" i="13"/>
  <c r="F34" i="3" l="1"/>
  <c r="H27" i="3"/>
  <c r="H34" i="3" s="1"/>
  <c r="E15" i="12" l="1"/>
  <c r="E9" i="3" s="1"/>
  <c r="F9" i="3" s="1"/>
  <c r="H9" i="3" s="1"/>
  <c r="E14" i="12" l="1"/>
  <c r="E8" i="3" l="1"/>
  <c r="F8" i="3" l="1"/>
  <c r="H8" i="3" s="1"/>
  <c r="E7" i="12" l="1"/>
  <c r="E7" i="3" l="1"/>
  <c r="E20" i="12"/>
  <c r="F7" i="3" l="1"/>
  <c r="E14" i="3"/>
  <c r="H7" i="3" l="1"/>
  <c r="H14" i="3" s="1"/>
  <c r="F14" i="3"/>
</calcChain>
</file>

<file path=xl/sharedStrings.xml><?xml version="1.0" encoding="utf-8"?>
<sst xmlns="http://schemas.openxmlformats.org/spreadsheetml/2006/main" count="673" uniqueCount="206">
  <si>
    <t>Reposición de cubierta en la Institución Educativa Agricola de Argelia sede principal, Niñas, Gabriel Garcia Marquez, Centro de Jóvenes e Institución Educativa Botafogo Municipio de  Argelia, Cauca</t>
  </si>
  <si>
    <t>GENERAL</t>
  </si>
  <si>
    <t>ACTIVIDAD MGA</t>
  </si>
  <si>
    <t>VALOR TOTAL</t>
  </si>
  <si>
    <t>COSTOS DE ESTRUCTURACIÓN</t>
  </si>
  <si>
    <t>1.1.RECONOCER COSTOS DE ESTRUCTURACIÓN</t>
  </si>
  <si>
    <t>COSTO DE OBRA</t>
  </si>
  <si>
    <t xml:space="preserve">2.1.Realizar mantenimiento correctivo a cubiertas de la IE Agrícola de Argelia sede principal. </t>
  </si>
  <si>
    <t>2.2.Realizar mantenimiento correctivo a cubiertas de la IE Agrícola de Argelia, sede Niñas</t>
  </si>
  <si>
    <t>2.3.Realizar mantenimiento correctivo a cubiertas de la IE Agrícola de Argelia, sede Gabriel García Márquez,</t>
  </si>
  <si>
    <t>2.4.Realizar mantenimiento correctivo a cubiertas de la IE Agrícola de Argelia, sede Gabriel García Márquez - AULA Centro de Jóvenes</t>
  </si>
  <si>
    <t>2.5.Realizar mantenimiento correctivo a cubiertas de la IE Botafogo, SEDE PRINCIPAL</t>
  </si>
  <si>
    <t>Obras adicionales - items no previstos</t>
  </si>
  <si>
    <t>2.6.DESARROLLAR PMA – PLAN DE MANEJO AMBIENTAL</t>
  </si>
  <si>
    <t>COSTO INTERVENTORIA</t>
  </si>
  <si>
    <t>3.1.DESARROLLAR INTERVENTORIA INTEGRAL DEL PROYECTO</t>
  </si>
  <si>
    <t>COSTO GERENCIA</t>
  </si>
  <si>
    <t>4.1.REALIZAR GERENCIA GENERAL DE PROYECTO</t>
  </si>
  <si>
    <t>CONFORMACIÓN FIDUCIA</t>
  </si>
  <si>
    <t>5.1. CONFORMAR FIDUCIA</t>
  </si>
  <si>
    <t>RUBRO CONTINGENTE</t>
  </si>
  <si>
    <t>6.1. RUBRO CONTINGENTE 10%</t>
  </si>
  <si>
    <t>POLIZAS</t>
  </si>
  <si>
    <t>7.1. ADQUIRIR POLIZAS</t>
  </si>
  <si>
    <t>GMF</t>
  </si>
  <si>
    <t>8.1.REALIZAR PAGO DE GMF</t>
  </si>
  <si>
    <t>VALOR TOTAL DEL PROYECTO</t>
  </si>
  <si>
    <t>M.P 19202-089762 CAU</t>
  </si>
  <si>
    <t>ELABORÓ: ING. JOSÉ DEMÓSTENES LÓPEZ BUSTAMANTE</t>
  </si>
  <si>
    <t xml:space="preserve">2.1.Realizar mantenimiento correctivo a cubiertas de la IE </t>
  </si>
  <si>
    <t>PRESUPUESTO INICIAL</t>
  </si>
  <si>
    <t>PRESUPUESTO AJUSTADO</t>
  </si>
  <si>
    <t>No.</t>
  </si>
  <si>
    <t>DESCRIPCION</t>
  </si>
  <si>
    <t>UNIDAD</t>
  </si>
  <si>
    <t>CANTIDAD</t>
  </si>
  <si>
    <t>VALOR UNITARIO</t>
  </si>
  <si>
    <t xml:space="preserve"> 1. ITA SEDE PRINCIPAL</t>
  </si>
  <si>
    <t>DESMONTE DE CUBIERTA EN ASBESTO CEMENTO Y ESTRUCTURA METÁLICA</t>
  </si>
  <si>
    <t>M2</t>
  </si>
  <si>
    <t>PINTURA COLOR BLANCO DE CORREAS METÁLICAS DE CUBIERTA (Incluye anticorrosivo)</t>
  </si>
  <si>
    <t>ML</t>
  </si>
  <si>
    <t>PINTURA COLOR BLANCO DE CERCHAS METÁLICAS DE CUBIERTA (Incluye anticorrosivo)</t>
  </si>
  <si>
    <t>SUMINISTRO E INSTALACIÓN DE CUBIERTA 
MAX TRAPEZOIDAL A360  (Incluye accesorios de fijación)</t>
  </si>
  <si>
    <t>SUMINISTRO E INSTALACION CABALLETE PARA CUMBRERA</t>
  </si>
  <si>
    <t xml:space="preserve">SUMINISTRO E INSTALACION LIMATESA </t>
  </si>
  <si>
    <t xml:space="preserve"> SUMINISTRO E INSTALACION DE LIMAHOYA</t>
  </si>
  <si>
    <t>SUMINISTRO E INSTALACIÓN  DE CANAL EN LAMINA GALVANIZADA, CAL 22,  0.15 X0.15</t>
  </si>
  <si>
    <t>BAJANTE AGUAS LLUVIAS DIAM= 4"</t>
  </si>
  <si>
    <t>BAJANTE AGUAS LLUVIAS DIAM= 3"</t>
  </si>
  <si>
    <t>PLATINAS PARA FIJACIÓN CUBIERTA (1"X 0.15) 3mm espesor. Incluye neopreno e= 9,5 mm</t>
  </si>
  <si>
    <t>UND</t>
  </si>
  <si>
    <t>CAJA DE INSPECCIÓN AGUAS LLUVIAS</t>
  </si>
  <si>
    <t>SUMINISTRO E INSTALACIÓN DE TUBERÍA PVC SANITARIA DIAM= 3"</t>
  </si>
  <si>
    <t>SUMINISTRO E INSTALACIÓN DE  TUBERÍA PVC SANITARIA DIAM= 4"</t>
  </si>
  <si>
    <t>SUMINISTRO E INSTALACIÓN DE TUBERÍA PVC SANITARIA DIAM= 6"</t>
  </si>
  <si>
    <t>SUMINISTRO E INSTALACIÓN DE TUBERÍA PVC SANITARIA DIAM= 8"</t>
  </si>
  <si>
    <t>EXCAVACION MANUAL EN MATERIAL COMUN</t>
  </si>
  <si>
    <t>M3</t>
  </si>
  <si>
    <t>RELLENO CON MATERIAL SELECCIONADO, PROVENIENTE DE LA EXCAVACION</t>
  </si>
  <si>
    <t>VALOR PARCIAL</t>
  </si>
  <si>
    <t>2. I.E GABRIEL GARCÍA MÁRQUEZ</t>
  </si>
  <si>
    <t xml:space="preserve">DESMONTE DE CUBIERTA EN ASBESTO CEMENTO </t>
  </si>
  <si>
    <t>PLATINAS PARA FIJACIÓN (0,10*0,10)m. Incluye neopreno e= 9,5 mm</t>
  </si>
  <si>
    <t>3. CENTRO JÓVENES (I.E GABRIEL GARCÍA MÁRQUEZ)</t>
  </si>
  <si>
    <t>SUMINISTRO E INSTALACION DE TUBERIA SANITARIA DE 4" PVC</t>
  </si>
  <si>
    <t>4. I.E SEDE NÑAS</t>
  </si>
  <si>
    <t>5. I.E BOTAFOGO. EN EL MUNICIPIO DE ARGELIA DEPARTAMENTO DEL CAUCA</t>
  </si>
  <si>
    <t>PINTURA ESMALTE DE PERLIN METÁLICO DE CUBIERTA (Incluye anticorrosivo)</t>
  </si>
  <si>
    <t>TOTAL COSTO DIRECTO</t>
  </si>
  <si>
    <t>ADMINISTRACION</t>
  </si>
  <si>
    <t>UTILIDAD</t>
  </si>
  <si>
    <t>IMPREVISTOS</t>
  </si>
  <si>
    <t>IVA 19% SOBRE U</t>
  </si>
  <si>
    <t>TOTAL COSTO INDIRECTO</t>
  </si>
  <si>
    <t>PMA</t>
  </si>
  <si>
    <t>TOTAL COSTO CONSTRUCCIÓN</t>
  </si>
  <si>
    <t xml:space="preserve">CÁLCULO DETALLADO DEL VALOR DE LA INTERVENTORÍA </t>
  </si>
  <si>
    <t>N°</t>
  </si>
  <si>
    <t>CONCEPTO</t>
  </si>
  <si>
    <t>A</t>
  </si>
  <si>
    <t>B</t>
  </si>
  <si>
    <t>C</t>
  </si>
  <si>
    <t>D</t>
  </si>
  <si>
    <t>E</t>
  </si>
  <si>
    <t>F</t>
  </si>
  <si>
    <t>G</t>
  </si>
  <si>
    <t>SUELDO MES BÁSICO</t>
  </si>
  <si>
    <t>% DE DEDICACIÓN</t>
  </si>
  <si>
    <t>F.M.</t>
  </si>
  <si>
    <t>VALOR MES (A * B * C * D)</t>
  </si>
  <si>
    <t>N° DE MESES</t>
  </si>
  <si>
    <t>TOTAL PARCIAL
(E * F)</t>
  </si>
  <si>
    <t>PERSONAL</t>
  </si>
  <si>
    <t>PERSONAL DE SUPERVISIÓN</t>
  </si>
  <si>
    <t>1.1.1</t>
  </si>
  <si>
    <t>Director de Interventoría</t>
  </si>
  <si>
    <t>1.1.2</t>
  </si>
  <si>
    <t>Residente de Interventoría</t>
  </si>
  <si>
    <t>1.1.3</t>
  </si>
  <si>
    <t>Profesional SySO</t>
  </si>
  <si>
    <t>PERSONAL DE APOYO</t>
  </si>
  <si>
    <t>1.3.1</t>
  </si>
  <si>
    <t>Auxiliar administrativo y financiero</t>
  </si>
  <si>
    <t>SUBTOTAL COSTOS DE PERSONAL</t>
  </si>
  <si>
    <t>OTROS COSTOS DIRECTOS</t>
  </si>
  <si>
    <t>2</t>
  </si>
  <si>
    <t>2.1.1</t>
  </si>
  <si>
    <t>Arriendo Oficina</t>
  </si>
  <si>
    <t>Mes</t>
  </si>
  <si>
    <t>2.1.2</t>
  </si>
  <si>
    <t>Servicios de energia</t>
  </si>
  <si>
    <t>2.1.3</t>
  </si>
  <si>
    <t>Servicio de agua</t>
  </si>
  <si>
    <t>2.1.4</t>
  </si>
  <si>
    <t>Servicio de internet y telefonia</t>
  </si>
  <si>
    <t>2.1.6</t>
  </si>
  <si>
    <t>Transportes</t>
  </si>
  <si>
    <t>SUBTOTAL OTROS COSTOS DIRECTOS</t>
  </si>
  <si>
    <t>RESUMEN GENERAL</t>
  </si>
  <si>
    <t>COSTO TOTAL (1 + 2)</t>
  </si>
  <si>
    <t>IVA (19%)</t>
  </si>
  <si>
    <t>VALOR TOTAL OFERTA</t>
  </si>
  <si>
    <t>CÁLCULO DETALLADO DEL VALOR DE LA GERENCIA</t>
  </si>
  <si>
    <t>GERENTE</t>
  </si>
  <si>
    <t>Apoyo administrativo</t>
  </si>
  <si>
    <t>1.3.2</t>
  </si>
  <si>
    <t>Asesor juridico</t>
  </si>
  <si>
    <t>2,1</t>
  </si>
  <si>
    <t>Gastos logisticos y de comunicaciones</t>
  </si>
  <si>
    <t>GLOBAL</t>
  </si>
  <si>
    <t>2,2</t>
  </si>
  <si>
    <t>Papeleria</t>
  </si>
  <si>
    <t>2,3</t>
  </si>
  <si>
    <t>TOTAL COSTO CONFORMACIÓN FIDUCIA</t>
  </si>
  <si>
    <t>ESTRUCTURACION- COMISIÓN INICIAL (revisión de documentos, reuniones previas y la elaboración de los contratos de fiducia mercantil y conformación del Patrimonio Autónomo)</t>
  </si>
  <si>
    <t>ADMINISTRACIÓN MENSUAL</t>
  </si>
  <si>
    <t>11 MESES</t>
  </si>
  <si>
    <t>SUBTOTAL</t>
  </si>
  <si>
    <t>IVA 19%</t>
  </si>
  <si>
    <t>COSTO FIDUCIA</t>
  </si>
  <si>
    <t>DESGLOSE PLAN DE MANEJO AMBIENTAL</t>
  </si>
  <si>
    <t>PROGRAMA</t>
  </si>
  <si>
    <t>PROYECTO</t>
  </si>
  <si>
    <t>ACTIVIDAD</t>
  </si>
  <si>
    <t>VLR UNT</t>
  </si>
  <si>
    <t>FACTOR MULT</t>
  </si>
  <si>
    <t>TIEMPO (MESES)</t>
  </si>
  <si>
    <t>VLR TOTAL</t>
  </si>
  <si>
    <t>Desarrollo y Aplicación de la Gestión Ambiental.</t>
  </si>
  <si>
    <t>Conformación del grupo de gestión ambiental</t>
  </si>
  <si>
    <t>Residente Ambiental (Incluye factor prestacional)</t>
  </si>
  <si>
    <t>Profesional</t>
  </si>
  <si>
    <t>Programa Actividades Constructivas.</t>
  </si>
  <si>
    <t xml:space="preserve">Proyecto  Manejo y Disposicion final de escombros y lodos </t>
  </si>
  <si>
    <t xml:space="preserve">Conformacion de Escombrera </t>
  </si>
  <si>
    <t>Und</t>
  </si>
  <si>
    <t>Valla informativa de Zonas RCD. (2x1 m)</t>
  </si>
  <si>
    <t>Guadua para cerramiento de Zonas RCD</t>
  </si>
  <si>
    <t>Tela Cerramiento Zonas RCD</t>
  </si>
  <si>
    <t>Proyecto de manejo y disposición final de residuos sólidos convencionales y especiales.</t>
  </si>
  <si>
    <t>Punto ecológico de 3 puestos (no aprovechables, plásticos, papel, carton y orgánicos aprovechables rotulado y con cubierta</t>
  </si>
  <si>
    <t>Programa de gestión social</t>
  </si>
  <si>
    <t>Proyecto atención comunidad</t>
  </si>
  <si>
    <t>Pendón del SAU</t>
  </si>
  <si>
    <t>Buzon de sugerencias</t>
  </si>
  <si>
    <t>Proyecto de Información y divulgación</t>
  </si>
  <si>
    <t>Reunión de Inicio</t>
  </si>
  <si>
    <t>Reunión de avance</t>
  </si>
  <si>
    <t>Reunión finalización</t>
  </si>
  <si>
    <t>TOTAL</t>
  </si>
  <si>
    <t>BPIN 20220214000041 REPOSICIÓN DE CUBIERTA EN LA INSTITUCIÓN EDUCATIVA AGRICOLA DE ARGELIA SEDE PRINCIPAL, NIÑAS, GABRIEL GARCIA MÁRQUEZ, CENTRO DE JÓVENES E INSTITUCIÓN EDUCATIVA BOTAFOGO MUNICIPIO DE  ARGELIA, CAUCA</t>
  </si>
  <si>
    <t>CANT</t>
  </si>
  <si>
    <t>N° MESES</t>
  </si>
  <si>
    <t>VR PARCIAL
(E * F)</t>
  </si>
  <si>
    <t>VALOR</t>
  </si>
  <si>
    <t>VR PARCIAL</t>
  </si>
  <si>
    <t>ITEM</t>
  </si>
  <si>
    <t>6.1. RUBRO CONTINGENTE 10% COSTO DIRECTO DE OBRA</t>
  </si>
  <si>
    <t>6.1. RUBRO CONTINGENTE 10% COSTO DIRECTO OBRA</t>
  </si>
  <si>
    <t>OBRAS ADICIONALES - ITEMS NO PREVISTOS</t>
  </si>
  <si>
    <t>A1</t>
  </si>
  <si>
    <t>DEMOL.ANDEN/CONTRAPISO CONC.E 7.6 A 12CM</t>
  </si>
  <si>
    <t>A2</t>
  </si>
  <si>
    <t>ANDEN CONCRETO 10CM 3000 PSI</t>
  </si>
  <si>
    <t>A3</t>
  </si>
  <si>
    <t>RETIRO DE CUBIERTA EN ASBESTO CEMENTO A SITIO DE DISPOSICION FINAL</t>
  </si>
  <si>
    <t>A4</t>
  </si>
  <si>
    <t>DESMONTE E INSTALACION DE RED ELECTRICA EXISTENTE</t>
  </si>
  <si>
    <t>GB</t>
  </si>
  <si>
    <t>A5</t>
  </si>
  <si>
    <t xml:space="preserve">RETIRO DE MATERIAL DE EXCAVACION </t>
  </si>
  <si>
    <t>VALOR PARCIAL ADICIONALES</t>
  </si>
  <si>
    <t>VALOR PARCIAL I.E</t>
  </si>
  <si>
    <t>DEDICACION</t>
  </si>
  <si>
    <t>PRESUPUESTO GENERAL INICIAL</t>
  </si>
  <si>
    <t>PRESUPUESTO DE OBRA</t>
  </si>
  <si>
    <t>PRESUPUESTO FINAL</t>
  </si>
  <si>
    <t>PRESUPUESTO GENERAL ESCENARIO 1</t>
  </si>
  <si>
    <t>DIFERENCIA</t>
  </si>
  <si>
    <t>PRESUPUESTO GENERAL ESCENARIO 2</t>
  </si>
  <si>
    <t>PRESUPUESTO OBRA ESCENARIO 2</t>
  </si>
  <si>
    <t>Nota: En el escenario 2 se modificaron los valores de interventoria, gerencia, PMA. El costo de obra se modifió de acuerdo con el siguiente criterio:  en los casos en que el Analisis de precios unitarios resulta en un menor valor se conserva el valor inicial para el item correspondiente y solo se modifica los items que resultan con un mayor valor segun la revision de los precios unitarios. El rubro contingente por ser un valor que depende del costo directo de obra se aumenta de manera proporcional a este.</t>
  </si>
  <si>
    <t>Nota: En el escenario 1 se modificaron los valores de interventoria, gerencia, PMA. El costo de obra se modifió de acuerdo con las cotizaciones que se hicieron de los insumos (materiales, transporte, mano de obra); en los casos en que el Analisis de precios unitarios resulta en un menor valor se asigna ese menor valor para el item correspondiente.       El rubro contingente por ser un valor que depende del costo directo de obra se aumenta de manera proporcional a este.</t>
  </si>
  <si>
    <t>PRESUPUESTO GENERAL AJUSTADO ESCENARIO 1</t>
  </si>
  <si>
    <t>PRESUPUESTO GENERAL AJUSTADO ESCENARIO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</si>
</sst>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8" formatCode="&quot;$&quot;\ #,##0.00;[Red]\-&quot;$&quot;\ #,##0.00"/>
    <numFmt numFmtId="41" formatCode="_-* #,##0_-;\-* #,##0_-;_-* &quot;-&quot;_-;_-@_-"/>
    <numFmt numFmtId="44" formatCode="_-&quot;$&quot;\ * #,##0.00_-;\-&quot;$&quot;\ * #,##0.00_-;_-&quot;$&quot;\ * &quot;-&quot;??_-;_-@_-"/>
    <numFmt numFmtId="43" formatCode="_-* #,##0.00_-;\-* #,##0.00_-;_-* &quot;-&quot;??_-;_-@_-"/>
    <numFmt numFmtId="164" formatCode="_-&quot;$&quot;\ * #,##0_-;\-&quot;$&quot;\ * #,##0_-;_-&quot;$&quot;\ * &quot;-&quot;??_-;_-@_-"/>
    <numFmt numFmtId="165" formatCode="_-* #,##0.00_-;\-* #,##0.00_-;_-* &quot;-&quot;_-;_-@_-"/>
    <numFmt numFmtId="166" formatCode="&quot;$&quot;\ #,##0.00"/>
    <numFmt numFmtId="167" formatCode="&quot;$&quot;\ #,##0"/>
    <numFmt numFmtId="168" formatCode="_(* #,##0.00_);_(* \(#,##0.00\);_(* &quot;-&quot;??_);_(@_)"/>
    <numFmt numFmtId="169" formatCode="_ * #,##0.00_ ;_ * \-#,##0.00_ ;_ * &quot;-&quot;??_ ;_ @_ "/>
    <numFmt numFmtId="170" formatCode="_(&quot;$&quot;\ * #,##0.00_);_(&quot;$&quot;\ * \(#,##0.00\);_(&quot;$&quot;\ * &quot;-&quot;??_);_(@_)"/>
    <numFmt numFmtId="171" formatCode="_-* #,##0.00\ _€_-;\-* #,##0.00\ _€_-;_-* &quot;-&quot;??\ _€_-;_-@_-"/>
    <numFmt numFmtId="172" formatCode="0.0000"/>
    <numFmt numFmtId="173" formatCode="#,##0.0"/>
    <numFmt numFmtId="174" formatCode="_-&quot;$&quot;* #,##0.00_-;\-&quot;$&quot;* #,##0.00_-;_-&quot;$&quot;* &quot;-&quot;??_-;_-@_-"/>
    <numFmt numFmtId="175" formatCode="_(&quot;$&quot;\ * #,##0_);_(&quot;$&quot;\ * \(#,##0\);_(&quot;$&quot;\ * &quot;-&quot;??_);_(@_)"/>
    <numFmt numFmtId="176" formatCode="_-* #,##0.0_-;\-* #,##0.0_-;_-* &quot;-&quot;??_-;_-@_-"/>
    <numFmt numFmtId="177" formatCode="_-* #,##0_-;\-* #,##0_-;_-* &quot;-&quot;??_-;_-@_-"/>
    <numFmt numFmtId="178" formatCode="_(* #,##0.0_);_(* \(#,##0.0\);_(* &quot;-&quot;??_);_(@_)"/>
  </numFmts>
  <fonts count="45"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Arial Narrow"/>
      <family val="2"/>
    </font>
    <font>
      <b/>
      <sz val="11"/>
      <color theme="1"/>
      <name val="Arial Narrow"/>
      <family val="2"/>
    </font>
    <font>
      <b/>
      <sz val="12"/>
      <color theme="1"/>
      <name val="Arial Narrow"/>
      <family val="2"/>
    </font>
    <font>
      <sz val="10"/>
      <color theme="1"/>
      <name val="Arial Narrow"/>
      <family val="2"/>
    </font>
    <font>
      <sz val="10"/>
      <name val="Arial Narrow"/>
      <family val="2"/>
    </font>
    <font>
      <sz val="10"/>
      <name val="Arial"/>
      <family val="2"/>
    </font>
    <font>
      <sz val="8"/>
      <name val="Arial"/>
      <family val="2"/>
    </font>
    <font>
      <sz val="8"/>
      <name val="Century Gothic"/>
      <family val="2"/>
    </font>
    <font>
      <sz val="11"/>
      <color indexed="8"/>
      <name val="Calibri"/>
      <family val="2"/>
    </font>
    <font>
      <sz val="8"/>
      <color indexed="8"/>
      <name val="Century Gothic"/>
      <family val="2"/>
    </font>
    <font>
      <b/>
      <sz val="14"/>
      <name val="Arial"/>
      <family val="2"/>
    </font>
    <font>
      <b/>
      <sz val="10"/>
      <name val="Arial"/>
      <family val="2"/>
    </font>
    <font>
      <b/>
      <sz val="10"/>
      <color indexed="8"/>
      <name val="Arial"/>
      <family val="2"/>
    </font>
    <font>
      <sz val="10"/>
      <color theme="1"/>
      <name val="Calibri"/>
      <family val="2"/>
      <scheme val="minor"/>
    </font>
    <font>
      <b/>
      <sz val="10"/>
      <color theme="1"/>
      <name val="Arial"/>
      <family val="2"/>
    </font>
    <font>
      <sz val="10"/>
      <color theme="1"/>
      <name val="Arial"/>
      <family val="2"/>
    </font>
    <font>
      <sz val="10"/>
      <color indexed="8"/>
      <name val="Arial"/>
      <family val="2"/>
    </font>
    <font>
      <sz val="8"/>
      <color theme="0"/>
      <name val="Arial"/>
      <family val="2"/>
    </font>
    <font>
      <b/>
      <sz val="12"/>
      <name val="Arial"/>
      <family val="2"/>
    </font>
    <font>
      <sz val="12"/>
      <name val="Century Gothic"/>
      <family val="2"/>
    </font>
    <font>
      <b/>
      <sz val="11"/>
      <name val="Century Gothic"/>
      <family val="2"/>
    </font>
    <font>
      <sz val="10"/>
      <name val="Century Gothic"/>
      <family val="2"/>
    </font>
    <font>
      <sz val="10"/>
      <name val="Lucida Sans"/>
      <family val="2"/>
    </font>
    <font>
      <sz val="9"/>
      <color theme="1"/>
      <name val="Century Gothic"/>
      <family val="2"/>
    </font>
    <font>
      <b/>
      <sz val="10"/>
      <name val="Lucida Sans"/>
      <family val="2"/>
    </font>
    <font>
      <sz val="8"/>
      <color theme="0"/>
      <name val="Century Gothic"/>
      <family val="2"/>
    </font>
    <font>
      <sz val="8"/>
      <color indexed="8"/>
      <name val="Arial"/>
      <family val="2"/>
    </font>
    <font>
      <sz val="10"/>
      <color theme="0"/>
      <name val="Arial"/>
      <family val="2"/>
    </font>
    <font>
      <sz val="10"/>
      <color rgb="FFFF0000"/>
      <name val="Arial"/>
      <family val="2"/>
    </font>
    <font>
      <sz val="8"/>
      <color rgb="FFFF0000"/>
      <name val="Arial"/>
      <family val="2"/>
    </font>
    <font>
      <b/>
      <sz val="8"/>
      <name val="Arial"/>
      <family val="2"/>
    </font>
    <font>
      <sz val="11"/>
      <name val="Calibri"/>
      <family val="2"/>
    </font>
    <font>
      <b/>
      <sz val="12"/>
      <color rgb="FFFF0000"/>
      <name val="Arial"/>
      <family val="2"/>
    </font>
    <font>
      <b/>
      <sz val="10"/>
      <color rgb="FFFF0000"/>
      <name val="Arial"/>
      <family val="2"/>
    </font>
    <font>
      <b/>
      <sz val="10"/>
      <color rgb="FFFFFFFF"/>
      <name val="Arial"/>
      <family val="2"/>
    </font>
    <font>
      <b/>
      <i/>
      <sz val="10"/>
      <color rgb="FFFFFFFF"/>
      <name val="Arial"/>
      <family val="2"/>
    </font>
    <font>
      <sz val="10"/>
      <color rgb="FFFFFFFF"/>
      <name val="Arial"/>
      <family val="2"/>
    </font>
    <font>
      <b/>
      <sz val="12"/>
      <color theme="1"/>
      <name val="Calibri"/>
      <family val="2"/>
      <scheme val="minor"/>
    </font>
    <font>
      <b/>
      <sz val="9"/>
      <name val="Arial"/>
      <family val="2"/>
    </font>
    <font>
      <sz val="9"/>
      <name val="Calibri"/>
      <family val="2"/>
    </font>
    <font>
      <sz val="10"/>
      <name val="Calibri"/>
      <family val="2"/>
    </font>
    <font>
      <b/>
      <sz val="9"/>
      <name val="Calibri"/>
      <family val="2"/>
    </font>
  </fonts>
  <fills count="13">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indexed="9"/>
        <bgColor indexed="64"/>
      </patternFill>
    </fill>
    <fill>
      <patternFill patternType="solid">
        <fgColor rgb="FFFFFFFF"/>
        <bgColor rgb="FFFFFFFF"/>
      </patternFill>
    </fill>
    <fill>
      <patternFill patternType="solid">
        <fgColor theme="9" tint="0.59999389629810485"/>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4.9989318521683403E-2"/>
        <bgColor rgb="FFFFFFFF"/>
      </patternFill>
    </fill>
    <fill>
      <patternFill patternType="solid">
        <fgColor theme="0" tint="-0.14999847407452621"/>
        <bgColor rgb="FFFFFFFF"/>
      </patternFill>
    </fill>
    <fill>
      <patternFill patternType="solid">
        <fgColor theme="9" tint="0.59999389629810485"/>
        <bgColor rgb="FFFFFFFF"/>
      </patternFill>
    </fill>
  </fills>
  <borders count="10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medium">
        <color indexed="64"/>
      </left>
      <right style="thin">
        <color auto="1"/>
      </right>
      <top style="medium">
        <color indexed="64"/>
      </top>
      <bottom style="hair">
        <color auto="1"/>
      </bottom>
      <diagonal/>
    </border>
    <border>
      <left style="thin">
        <color auto="1"/>
      </left>
      <right style="thin">
        <color auto="1"/>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top style="hair">
        <color auto="1"/>
      </top>
      <bottom style="hair">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auto="1"/>
      </right>
      <top style="thin">
        <color indexed="64"/>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style="thin">
        <color auto="1"/>
      </top>
      <bottom style="double">
        <color auto="1"/>
      </bottom>
      <diagonal/>
    </border>
    <border>
      <left style="thin">
        <color auto="1"/>
      </left>
      <right/>
      <top style="thin">
        <color auto="1"/>
      </top>
      <bottom style="double">
        <color auto="1"/>
      </bottom>
      <diagonal/>
    </border>
    <border>
      <left/>
      <right/>
      <top style="thin">
        <color auto="1"/>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rgb="FF000000"/>
      </right>
      <top style="double">
        <color rgb="FF000000"/>
      </top>
      <bottom style="medium">
        <color rgb="FF000000"/>
      </bottom>
      <diagonal/>
    </border>
    <border>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style="medium">
        <color indexed="64"/>
      </right>
      <top style="double">
        <color rgb="FF000000"/>
      </top>
      <bottom style="medium">
        <color rgb="FF000000"/>
      </bottom>
      <diagonal/>
    </border>
    <border>
      <left style="medium">
        <color indexed="64"/>
      </left>
      <right style="thin">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indexed="64"/>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bottom/>
      <diagonal/>
    </border>
    <border>
      <left/>
      <right style="thin">
        <color rgb="FF000000"/>
      </right>
      <top/>
      <bottom style="thin">
        <color rgb="FF000000"/>
      </bottom>
      <diagonal/>
    </border>
    <border>
      <left style="medium">
        <color indexed="64"/>
      </left>
      <right style="thin">
        <color rgb="FF000000"/>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medium">
        <color indexed="64"/>
      </left>
      <right style="thin">
        <color rgb="FF000000"/>
      </right>
      <top/>
      <bottom style="thin">
        <color rgb="FF000000"/>
      </bottom>
      <diagonal/>
    </border>
    <border>
      <left style="medium">
        <color indexed="64"/>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top/>
      <bottom style="double">
        <color rgb="FF000000"/>
      </bottom>
      <diagonal/>
    </border>
    <border>
      <left/>
      <right/>
      <top/>
      <bottom style="double">
        <color rgb="FF000000"/>
      </bottom>
      <diagonal/>
    </border>
    <border>
      <left/>
      <right style="medium">
        <color indexed="64"/>
      </right>
      <top/>
      <bottom style="double">
        <color rgb="FF000000"/>
      </bottom>
      <diagonal/>
    </border>
    <border>
      <left style="medium">
        <color indexed="64"/>
      </left>
      <right/>
      <top style="hair">
        <color auto="1"/>
      </top>
      <bottom style="medium">
        <color indexed="64"/>
      </bottom>
      <diagonal/>
    </border>
    <border>
      <left/>
      <right/>
      <top style="hair">
        <color auto="1"/>
      </top>
      <bottom style="medium">
        <color indexed="64"/>
      </bottom>
      <diagonal/>
    </border>
    <border>
      <left/>
      <right style="medium">
        <color indexed="64"/>
      </right>
      <top style="hair">
        <color auto="1"/>
      </top>
      <bottom style="medium">
        <color indexed="64"/>
      </bottom>
      <diagonal/>
    </border>
    <border>
      <left style="thin">
        <color auto="1"/>
      </left>
      <right/>
      <top style="medium">
        <color indexed="64"/>
      </top>
      <bottom style="hair">
        <color auto="1"/>
      </bottom>
      <diagonal/>
    </border>
    <border>
      <left style="thin">
        <color auto="1"/>
      </left>
      <right/>
      <top/>
      <bottom style="hair">
        <color auto="1"/>
      </bottom>
      <diagonal/>
    </border>
    <border>
      <left style="medium">
        <color indexed="64"/>
      </left>
      <right style="thin">
        <color auto="1"/>
      </right>
      <top/>
      <bottom style="hair">
        <color auto="1"/>
      </bottom>
      <diagonal/>
    </border>
    <border>
      <left style="thin">
        <color auto="1"/>
      </left>
      <right style="medium">
        <color indexed="64"/>
      </right>
      <top/>
      <bottom style="hair">
        <color auto="1"/>
      </bottom>
      <diagonal/>
    </border>
    <border>
      <left style="thin">
        <color auto="1"/>
      </left>
      <right style="medium">
        <color indexed="64"/>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s>
  <cellStyleXfs count="18">
    <xf numFmtId="0" fontId="0" fillId="0" borderId="0"/>
    <xf numFmtId="44" fontId="1" fillId="0" borderId="0" applyFont="0" applyFill="0" applyBorder="0" applyAlignment="0" applyProtection="0"/>
    <xf numFmtId="41" fontId="1" fillId="0" borderId="0" applyFont="0" applyFill="0" applyBorder="0" applyAlignment="0" applyProtection="0"/>
    <xf numFmtId="9" fontId="1" fillId="0" borderId="0" applyFont="0" applyFill="0" applyBorder="0" applyAlignment="0" applyProtection="0"/>
    <xf numFmtId="0" fontId="8" fillId="0" borderId="0"/>
    <xf numFmtId="168" fontId="11" fillId="0" borderId="0" applyFont="0" applyFill="0" applyBorder="0" applyAlignment="0" applyProtection="0"/>
    <xf numFmtId="0" fontId="8" fillId="0" borderId="0" applyFont="0" applyFill="0" applyBorder="0" applyAlignment="0" applyProtection="0"/>
    <xf numFmtId="0" fontId="1" fillId="0" borderId="0"/>
    <xf numFmtId="170" fontId="11" fillId="0" borderId="0" applyFont="0" applyFill="0" applyBorder="0" applyAlignment="0" applyProtection="0"/>
    <xf numFmtId="9" fontId="11" fillId="0" borderId="0" applyFont="0" applyFill="0" applyBorder="0" applyAlignment="0" applyProtection="0"/>
    <xf numFmtId="171" fontId="1" fillId="0" borderId="0" applyFont="0" applyFill="0" applyBorder="0" applyAlignment="0" applyProtection="0"/>
    <xf numFmtId="170" fontId="1" fillId="0" borderId="0" applyFont="0" applyFill="0" applyBorder="0" applyAlignment="0" applyProtection="0"/>
    <xf numFmtId="174" fontId="1" fillId="0" borderId="0" applyFont="0" applyFill="0" applyBorder="0" applyAlignment="0" applyProtection="0"/>
    <xf numFmtId="0" fontId="8" fillId="0" borderId="0"/>
    <xf numFmtId="170" fontId="8" fillId="0" borderId="0" applyFont="0" applyFill="0" applyBorder="0" applyAlignment="0" applyProtection="0"/>
    <xf numFmtId="0" fontId="1" fillId="0" borderId="0"/>
    <xf numFmtId="0" fontId="8" fillId="0" borderId="0"/>
    <xf numFmtId="43" fontId="1" fillId="0" borderId="0" applyFont="0" applyFill="0" applyBorder="0" applyAlignment="0" applyProtection="0"/>
  </cellStyleXfs>
  <cellXfs count="649">
    <xf numFmtId="0" fontId="0" fillId="0" borderId="0" xfId="0"/>
    <xf numFmtId="164" fontId="2" fillId="2" borderId="1" xfId="1" applyNumberFormat="1" applyFont="1" applyFill="1" applyBorder="1" applyAlignment="1">
      <alignment horizontal="center"/>
    </xf>
    <xf numFmtId="0" fontId="0" fillId="2" borderId="1" xfId="0" applyFill="1" applyBorder="1"/>
    <xf numFmtId="44" fontId="0" fillId="2" borderId="1" xfId="1" applyFont="1" applyFill="1" applyBorder="1" applyAlignment="1">
      <alignment horizontal="left" wrapText="1"/>
    </xf>
    <xf numFmtId="44" fontId="0" fillId="0" borderId="1" xfId="1" applyFont="1" applyBorder="1"/>
    <xf numFmtId="0" fontId="0" fillId="0" borderId="1" xfId="0" applyBorder="1" applyAlignment="1">
      <alignment wrapText="1"/>
    </xf>
    <xf numFmtId="44" fontId="2" fillId="0" borderId="1" xfId="1" applyFont="1" applyBorder="1" applyAlignment="1">
      <alignment wrapText="1"/>
    </xf>
    <xf numFmtId="44" fontId="0" fillId="0" borderId="0" xfId="0" applyNumberFormat="1"/>
    <xf numFmtId="8" fontId="0" fillId="0" borderId="0" xfId="1" applyNumberFormat="1" applyFont="1"/>
    <xf numFmtId="8" fontId="0" fillId="0" borderId="0" xfId="0" applyNumberFormat="1"/>
    <xf numFmtId="44" fontId="0" fillId="0" borderId="0" xfId="1" applyFont="1"/>
    <xf numFmtId="44" fontId="0" fillId="0" borderId="1" xfId="1" applyFont="1" applyBorder="1" applyAlignment="1">
      <alignment wrapText="1"/>
    </xf>
    <xf numFmtId="0" fontId="0" fillId="2" borderId="1" xfId="0" applyFill="1" applyBorder="1" applyAlignment="1">
      <alignment horizontal="left"/>
    </xf>
    <xf numFmtId="44" fontId="0" fillId="0" borderId="1" xfId="1" applyFont="1" applyBorder="1" applyAlignment="1"/>
    <xf numFmtId="44" fontId="2" fillId="2" borderId="1" xfId="1" applyFont="1" applyFill="1" applyBorder="1"/>
    <xf numFmtId="0" fontId="0" fillId="0" borderId="0" xfId="0" applyAlignment="1">
      <alignment horizontal="left"/>
    </xf>
    <xf numFmtId="0" fontId="0" fillId="0" borderId="0" xfId="0" applyAlignment="1">
      <alignment wrapText="1"/>
    </xf>
    <xf numFmtId="44" fontId="0" fillId="0" borderId="0" xfId="1" applyFont="1" applyAlignment="1">
      <alignment wrapText="1"/>
    </xf>
    <xf numFmtId="164" fontId="0" fillId="0" borderId="0" xfId="1" applyNumberFormat="1" applyFont="1"/>
    <xf numFmtId="164" fontId="0" fillId="0" borderId="0" xfId="0" applyNumberFormat="1"/>
    <xf numFmtId="44" fontId="0" fillId="0" borderId="0" xfId="0" applyNumberFormat="1" applyAlignment="1">
      <alignment horizontal="left"/>
    </xf>
    <xf numFmtId="0" fontId="3" fillId="0" borderId="0" xfId="0" applyFont="1" applyAlignment="1">
      <alignment horizontal="center" vertical="center"/>
    </xf>
    <xf numFmtId="164" fontId="0" fillId="0" borderId="1" xfId="1" applyNumberFormat="1" applyFont="1" applyBorder="1"/>
    <xf numFmtId="0" fontId="3" fillId="0" borderId="0" xfId="0" applyFont="1" applyAlignment="1">
      <alignment vertical="center"/>
    </xf>
    <xf numFmtId="0" fontId="4" fillId="0" borderId="4" xfId="0" applyFont="1" applyBorder="1" applyAlignment="1">
      <alignment horizontal="center" vertical="center" wrapText="1"/>
    </xf>
    <xf numFmtId="41" fontId="4" fillId="0" borderId="5" xfId="2" applyFont="1" applyFill="1" applyBorder="1" applyAlignment="1">
      <alignment horizontal="center" vertical="center" wrapText="1"/>
    </xf>
    <xf numFmtId="41" fontId="4" fillId="0" borderId="6" xfId="2" applyFont="1" applyFill="1" applyBorder="1" applyAlignment="1">
      <alignment horizontal="center" vertical="center" wrapText="1"/>
    </xf>
    <xf numFmtId="0" fontId="3" fillId="0" borderId="10" xfId="0" applyFont="1" applyBorder="1" applyAlignment="1">
      <alignment horizontal="center" vertical="center" wrapText="1"/>
    </xf>
    <xf numFmtId="166" fontId="3" fillId="0" borderId="10" xfId="2" applyNumberFormat="1" applyFont="1" applyFill="1" applyBorder="1" applyAlignment="1">
      <alignment horizontal="right" vertical="center" wrapText="1"/>
    </xf>
    <xf numFmtId="0" fontId="3" fillId="0" borderId="11" xfId="0" applyFont="1" applyBorder="1" applyAlignment="1">
      <alignment horizontal="center" vertical="center" wrapText="1"/>
    </xf>
    <xf numFmtId="167" fontId="3" fillId="0" borderId="11" xfId="2" applyNumberFormat="1" applyFont="1" applyFill="1" applyBorder="1" applyAlignment="1">
      <alignment horizontal="right" vertical="center" wrapText="1"/>
    </xf>
    <xf numFmtId="166" fontId="3" fillId="0" borderId="0" xfId="0" applyNumberFormat="1" applyFont="1" applyAlignment="1">
      <alignment vertical="center"/>
    </xf>
    <xf numFmtId="0" fontId="3" fillId="0" borderId="0" xfId="0" applyFont="1" applyAlignment="1">
      <alignment horizontal="center" vertical="center" wrapText="1"/>
    </xf>
    <xf numFmtId="165" fontId="3" fillId="0" borderId="0" xfId="2" applyNumberFormat="1" applyFont="1" applyFill="1" applyBorder="1" applyAlignment="1">
      <alignment horizontal="center" vertical="center" wrapText="1"/>
    </xf>
    <xf numFmtId="167" fontId="3" fillId="0" borderId="0" xfId="2" applyNumberFormat="1" applyFont="1" applyFill="1" applyBorder="1" applyAlignment="1">
      <alignment horizontal="right" vertical="center" wrapText="1"/>
    </xf>
    <xf numFmtId="167" fontId="3" fillId="0" borderId="10" xfId="2" applyNumberFormat="1" applyFont="1" applyFill="1" applyBorder="1" applyAlignment="1">
      <alignment horizontal="right" vertical="center" wrapText="1"/>
    </xf>
    <xf numFmtId="0" fontId="4" fillId="0" borderId="0" xfId="0" applyFont="1" applyAlignment="1">
      <alignment vertical="center" wrapText="1"/>
    </xf>
    <xf numFmtId="9" fontId="4" fillId="0" borderId="1" xfId="3" applyFont="1" applyFill="1" applyBorder="1" applyAlignment="1">
      <alignment horizontal="center" vertical="center"/>
    </xf>
    <xf numFmtId="0" fontId="3" fillId="0" borderId="21" xfId="0" applyFont="1" applyBorder="1" applyAlignment="1">
      <alignment vertical="center"/>
    </xf>
    <xf numFmtId="0" fontId="6" fillId="0" borderId="0" xfId="0" applyFont="1" applyAlignment="1">
      <alignment vertical="center"/>
    </xf>
    <xf numFmtId="0" fontId="7" fillId="0" borderId="0" xfId="0" applyFont="1"/>
    <xf numFmtId="0" fontId="9" fillId="4" borderId="0" xfId="4" applyFont="1" applyFill="1" applyAlignment="1">
      <alignment vertical="center"/>
    </xf>
    <xf numFmtId="49" fontId="10" fillId="4" borderId="0" xfId="4" applyNumberFormat="1" applyFont="1" applyFill="1" applyAlignment="1">
      <alignment horizontal="center" vertical="center"/>
    </xf>
    <xf numFmtId="0" fontId="10" fillId="4" borderId="0" xfId="4" applyFont="1" applyFill="1" applyAlignment="1">
      <alignment vertical="center"/>
    </xf>
    <xf numFmtId="168" fontId="10" fillId="4" borderId="0" xfId="5" applyFont="1" applyFill="1" applyAlignment="1">
      <alignment vertical="center"/>
    </xf>
    <xf numFmtId="169" fontId="12" fillId="4" borderId="0" xfId="6" applyNumberFormat="1" applyFont="1" applyFill="1" applyAlignment="1">
      <alignment vertical="center"/>
    </xf>
    <xf numFmtId="4" fontId="10" fillId="4" borderId="0" xfId="4" applyNumberFormat="1" applyFont="1" applyFill="1" applyAlignment="1">
      <alignment vertical="center"/>
    </xf>
    <xf numFmtId="0" fontId="9" fillId="0" borderId="0" xfId="4" applyFont="1" applyAlignment="1">
      <alignment vertical="center"/>
    </xf>
    <xf numFmtId="0" fontId="8" fillId="0" borderId="0" xfId="4" applyAlignment="1">
      <alignment vertical="center"/>
    </xf>
    <xf numFmtId="0" fontId="14" fillId="2" borderId="13" xfId="4" applyFont="1" applyFill="1" applyBorder="1" applyAlignment="1">
      <alignment horizontal="center" vertical="center" wrapText="1"/>
    </xf>
    <xf numFmtId="168" fontId="14" fillId="2" borderId="13" xfId="5" applyFont="1" applyFill="1" applyBorder="1" applyAlignment="1">
      <alignment horizontal="center" vertical="center" wrapText="1"/>
    </xf>
    <xf numFmtId="169" fontId="14" fillId="2" borderId="13" xfId="6" applyNumberFormat="1" applyFont="1" applyFill="1" applyBorder="1" applyAlignment="1">
      <alignment horizontal="center" vertical="center" wrapText="1"/>
    </xf>
    <xf numFmtId="4" fontId="14" fillId="2" borderId="14" xfId="4" applyNumberFormat="1" applyFont="1" applyFill="1" applyBorder="1" applyAlignment="1">
      <alignment horizontal="center" vertical="center" wrapText="1"/>
    </xf>
    <xf numFmtId="0" fontId="8" fillId="4" borderId="0" xfId="4" applyFill="1" applyAlignment="1">
      <alignment vertical="center"/>
    </xf>
    <xf numFmtId="0" fontId="14" fillId="2" borderId="35" xfId="4" applyFont="1" applyFill="1" applyBorder="1" applyAlignment="1">
      <alignment horizontal="center" vertical="center" wrapText="1"/>
    </xf>
    <xf numFmtId="168" fontId="14" fillId="2" borderId="35" xfId="5" applyFont="1" applyFill="1" applyBorder="1" applyAlignment="1">
      <alignment horizontal="center" vertical="center" wrapText="1"/>
    </xf>
    <xf numFmtId="169" fontId="14" fillId="2" borderId="35" xfId="6" applyNumberFormat="1" applyFont="1" applyFill="1" applyBorder="1" applyAlignment="1">
      <alignment horizontal="center" vertical="center" wrapText="1"/>
    </xf>
    <xf numFmtId="4" fontId="14" fillId="2" borderId="38" xfId="4" applyNumberFormat="1" applyFont="1" applyFill="1" applyBorder="1" applyAlignment="1">
      <alignment horizontal="center" vertical="center" wrapText="1"/>
    </xf>
    <xf numFmtId="0" fontId="14" fillId="0" borderId="0" xfId="4" applyFont="1" applyAlignment="1">
      <alignment vertical="center"/>
    </xf>
    <xf numFmtId="49" fontId="14" fillId="4" borderId="16" xfId="4" applyNumberFormat="1" applyFont="1" applyFill="1" applyBorder="1" applyAlignment="1">
      <alignment horizontal="center" vertical="center"/>
    </xf>
    <xf numFmtId="0" fontId="14" fillId="4" borderId="17" xfId="4" applyFont="1" applyFill="1" applyBorder="1" applyAlignment="1">
      <alignment vertical="center"/>
    </xf>
    <xf numFmtId="10" fontId="14" fillId="4" borderId="17" xfId="4" applyNumberFormat="1" applyFont="1" applyFill="1" applyBorder="1" applyAlignment="1">
      <alignment horizontal="center" vertical="center"/>
    </xf>
    <xf numFmtId="168" fontId="14" fillId="4" borderId="17" xfId="5" applyFont="1" applyFill="1" applyBorder="1" applyAlignment="1">
      <alignment horizontal="center" vertical="center"/>
    </xf>
    <xf numFmtId="169" fontId="14" fillId="4" borderId="17" xfId="6" applyNumberFormat="1" applyFont="1" applyFill="1" applyBorder="1" applyAlignment="1">
      <alignment vertical="center"/>
    </xf>
    <xf numFmtId="4" fontId="14" fillId="4" borderId="18" xfId="4" applyNumberFormat="1" applyFont="1" applyFill="1" applyBorder="1" applyAlignment="1">
      <alignment vertical="center"/>
    </xf>
    <xf numFmtId="0" fontId="14" fillId="4" borderId="0" xfId="4" applyFont="1" applyFill="1" applyAlignment="1">
      <alignment vertical="center"/>
    </xf>
    <xf numFmtId="49" fontId="14" fillId="4" borderId="19" xfId="4" applyNumberFormat="1" applyFont="1" applyFill="1" applyBorder="1" applyAlignment="1">
      <alignment horizontal="center" vertical="center"/>
    </xf>
    <xf numFmtId="0" fontId="14" fillId="4" borderId="1" xfId="4" applyFont="1" applyFill="1" applyBorder="1" applyAlignment="1">
      <alignment vertical="center"/>
    </xf>
    <xf numFmtId="0" fontId="14" fillId="4" borderId="1" xfId="4" applyFont="1" applyFill="1" applyBorder="1" applyAlignment="1">
      <alignment horizontal="center" vertical="center"/>
    </xf>
    <xf numFmtId="10" fontId="14" fillId="4" borderId="1" xfId="4" applyNumberFormat="1" applyFont="1" applyFill="1" applyBorder="1" applyAlignment="1">
      <alignment horizontal="center" vertical="center"/>
    </xf>
    <xf numFmtId="168" fontId="14" fillId="4" borderId="1" xfId="5" applyFont="1" applyFill="1" applyBorder="1" applyAlignment="1">
      <alignment horizontal="center" vertical="center"/>
    </xf>
    <xf numFmtId="169" fontId="15" fillId="4" borderId="1" xfId="6" applyNumberFormat="1" applyFont="1" applyFill="1" applyBorder="1" applyAlignment="1">
      <alignment vertical="center"/>
    </xf>
    <xf numFmtId="4" fontId="14" fillId="4" borderId="20" xfId="4" applyNumberFormat="1" applyFont="1" applyFill="1" applyBorder="1" applyAlignment="1">
      <alignment vertical="center"/>
    </xf>
    <xf numFmtId="49" fontId="8" fillId="4" borderId="19" xfId="4" applyNumberFormat="1" applyFill="1" applyBorder="1" applyAlignment="1">
      <alignment horizontal="center" vertical="center"/>
    </xf>
    <xf numFmtId="0" fontId="8" fillId="0" borderId="1" xfId="7" applyFont="1" applyBorder="1" applyAlignment="1">
      <alignment vertical="center"/>
    </xf>
    <xf numFmtId="170" fontId="8" fillId="4" borderId="1" xfId="8" applyFont="1" applyFill="1" applyBorder="1" applyAlignment="1">
      <alignment horizontal="center" vertical="center"/>
    </xf>
    <xf numFmtId="0" fontId="8" fillId="4" borderId="1" xfId="4" applyFill="1" applyBorder="1" applyAlignment="1">
      <alignment horizontal="center" vertical="center"/>
    </xf>
    <xf numFmtId="168" fontId="8" fillId="4" borderId="1" xfId="5" applyFont="1" applyFill="1" applyBorder="1" applyAlignment="1">
      <alignment horizontal="center" vertical="center"/>
    </xf>
    <xf numFmtId="3" fontId="8" fillId="4" borderId="1" xfId="5" applyNumberFormat="1" applyFont="1" applyFill="1" applyBorder="1" applyAlignment="1">
      <alignment horizontal="center" vertical="center"/>
    </xf>
    <xf numFmtId="4" fontId="8" fillId="4" borderId="20" xfId="10" applyNumberFormat="1" applyFont="1" applyFill="1" applyBorder="1" applyAlignment="1">
      <alignment horizontal="right" vertical="center"/>
    </xf>
    <xf numFmtId="0" fontId="8" fillId="4" borderId="1" xfId="4" applyFill="1" applyBorder="1" applyAlignment="1">
      <alignment vertical="center"/>
    </xf>
    <xf numFmtId="49" fontId="14" fillId="4" borderId="39" xfId="4" applyNumberFormat="1" applyFont="1" applyFill="1" applyBorder="1" applyAlignment="1">
      <alignment horizontal="center" vertical="center"/>
    </xf>
    <xf numFmtId="4" fontId="14" fillId="4" borderId="41" xfId="4" applyNumberFormat="1" applyFont="1" applyFill="1" applyBorder="1" applyAlignment="1">
      <alignment vertical="center"/>
    </xf>
    <xf numFmtId="172" fontId="14" fillId="0" borderId="0" xfId="4" applyNumberFormat="1" applyFont="1" applyAlignment="1">
      <alignment vertical="center"/>
    </xf>
    <xf numFmtId="0" fontId="16" fillId="0" borderId="0" xfId="0" applyFont="1"/>
    <xf numFmtId="4" fontId="14" fillId="4" borderId="20" xfId="4" applyNumberFormat="1" applyFont="1" applyFill="1" applyBorder="1" applyAlignment="1">
      <alignment horizontal="center" vertical="center"/>
    </xf>
    <xf numFmtId="4" fontId="8" fillId="4" borderId="20" xfId="8" applyNumberFormat="1" applyFont="1" applyFill="1" applyBorder="1" applyAlignment="1">
      <alignment vertical="center"/>
    </xf>
    <xf numFmtId="170" fontId="8" fillId="4" borderId="1" xfId="11" applyFont="1" applyFill="1" applyBorder="1" applyAlignment="1">
      <alignment horizontal="center" vertical="center"/>
    </xf>
    <xf numFmtId="0" fontId="8" fillId="4" borderId="23" xfId="4" applyFill="1" applyBorder="1" applyAlignment="1">
      <alignment horizontal="left" vertical="center" wrapText="1"/>
    </xf>
    <xf numFmtId="170" fontId="8" fillId="0" borderId="23" xfId="8" applyFont="1" applyFill="1" applyBorder="1" applyAlignment="1">
      <alignment horizontal="center" vertical="center"/>
    </xf>
    <xf numFmtId="0" fontId="8" fillId="4" borderId="23" xfId="4" applyFill="1" applyBorder="1" applyAlignment="1">
      <alignment horizontal="center" vertical="center"/>
    </xf>
    <xf numFmtId="168" fontId="8" fillId="4" borderId="23" xfId="5" applyFont="1" applyFill="1" applyBorder="1" applyAlignment="1">
      <alignment horizontal="center" vertical="center"/>
    </xf>
    <xf numFmtId="173" fontId="8" fillId="4" borderId="23" xfId="5" applyNumberFormat="1" applyFont="1" applyFill="1" applyBorder="1" applyAlignment="1">
      <alignment horizontal="center" vertical="center"/>
    </xf>
    <xf numFmtId="49" fontId="14" fillId="4" borderId="12" xfId="4" applyNumberFormat="1" applyFont="1" applyFill="1" applyBorder="1" applyAlignment="1">
      <alignment horizontal="center" vertical="center"/>
    </xf>
    <xf numFmtId="4" fontId="14" fillId="5" borderId="14" xfId="4" applyNumberFormat="1" applyFont="1" applyFill="1" applyBorder="1" applyAlignment="1">
      <alignment vertical="center"/>
    </xf>
    <xf numFmtId="4" fontId="8" fillId="0" borderId="0" xfId="4" applyNumberFormat="1" applyAlignment="1">
      <alignment vertical="center"/>
    </xf>
    <xf numFmtId="4" fontId="8" fillId="4" borderId="0" xfId="4" applyNumberFormat="1" applyFill="1" applyAlignment="1">
      <alignment vertical="center"/>
    </xf>
    <xf numFmtId="49" fontId="8" fillId="4" borderId="52" xfId="4" applyNumberFormat="1" applyFill="1" applyBorder="1" applyAlignment="1">
      <alignment horizontal="center" vertical="center"/>
    </xf>
    <xf numFmtId="170" fontId="8" fillId="4" borderId="0" xfId="4" applyNumberFormat="1" applyFill="1" applyAlignment="1">
      <alignment vertical="center"/>
    </xf>
    <xf numFmtId="49" fontId="8" fillId="0" borderId="0" xfId="4" applyNumberFormat="1" applyAlignment="1">
      <alignment horizontal="center" vertical="center"/>
    </xf>
    <xf numFmtId="0" fontId="18" fillId="0" borderId="0" xfId="7" applyFont="1" applyAlignment="1">
      <alignment horizontal="justify" vertical="center"/>
    </xf>
    <xf numFmtId="168" fontId="8" fillId="0" borderId="0" xfId="5" applyFont="1" applyFill="1" applyAlignment="1">
      <alignment vertical="center"/>
    </xf>
    <xf numFmtId="169" fontId="19" fillId="0" borderId="0" xfId="6" applyNumberFormat="1" applyFont="1" applyFill="1" applyAlignment="1">
      <alignment vertical="center"/>
    </xf>
    <xf numFmtId="170" fontId="8" fillId="0" borderId="0" xfId="4" applyNumberFormat="1" applyAlignment="1">
      <alignment vertical="center"/>
    </xf>
    <xf numFmtId="0" fontId="20" fillId="0" borderId="0" xfId="4" applyFont="1" applyAlignment="1">
      <alignment vertical="center"/>
    </xf>
    <xf numFmtId="49" fontId="9" fillId="0" borderId="0" xfId="4" applyNumberFormat="1" applyFont="1" applyAlignment="1">
      <alignment horizontal="center" vertical="center"/>
    </xf>
    <xf numFmtId="0" fontId="8" fillId="0" borderId="0" xfId="13" applyAlignment="1">
      <alignment vertical="center"/>
    </xf>
    <xf numFmtId="168" fontId="9" fillId="0" borderId="0" xfId="5" applyFont="1" applyFill="1" applyAlignment="1">
      <alignment vertical="center"/>
    </xf>
    <xf numFmtId="169" fontId="20" fillId="0" borderId="0" xfId="6" applyNumberFormat="1" applyFont="1" applyFill="1" applyAlignment="1">
      <alignment vertical="center"/>
    </xf>
    <xf numFmtId="4" fontId="20" fillId="0" borderId="0" xfId="4" applyNumberFormat="1" applyFont="1" applyAlignment="1">
      <alignment vertical="center"/>
    </xf>
    <xf numFmtId="0" fontId="20" fillId="4" borderId="0" xfId="4" applyFont="1" applyFill="1" applyAlignment="1">
      <alignment vertical="center"/>
    </xf>
    <xf numFmtId="0" fontId="14" fillId="0" borderId="0" xfId="7" applyFont="1" applyAlignment="1">
      <alignment vertical="center" wrapText="1"/>
    </xf>
    <xf numFmtId="0" fontId="21" fillId="0" borderId="0" xfId="0" applyFont="1" applyAlignment="1">
      <alignment vertical="center"/>
    </xf>
    <xf numFmtId="0" fontId="8" fillId="0" borderId="0" xfId="0" applyFont="1" applyAlignment="1">
      <alignment vertical="center"/>
    </xf>
    <xf numFmtId="49" fontId="10" fillId="0" borderId="0" xfId="4" applyNumberFormat="1" applyFont="1" applyAlignment="1">
      <alignment horizontal="center" vertical="center"/>
    </xf>
    <xf numFmtId="0" fontId="22" fillId="0" borderId="0" xfId="0" applyFont="1" applyAlignment="1">
      <alignment vertical="center"/>
    </xf>
    <xf numFmtId="170" fontId="23" fillId="0" borderId="0" xfId="14" applyFont="1" applyFill="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26" fillId="0" borderId="0" xfId="15" applyFont="1" applyAlignment="1">
      <alignment wrapText="1"/>
    </xf>
    <xf numFmtId="0" fontId="27" fillId="0" borderId="0" xfId="0" applyFont="1"/>
    <xf numFmtId="0" fontId="10" fillId="0" borderId="0" xfId="4" applyFont="1" applyAlignment="1">
      <alignment vertical="center"/>
    </xf>
    <xf numFmtId="168" fontId="10" fillId="0" borderId="0" xfId="5" applyFont="1" applyFill="1" applyAlignment="1">
      <alignment vertical="center"/>
    </xf>
    <xf numFmtId="169" fontId="12" fillId="0" borderId="0" xfId="6" applyNumberFormat="1" applyFont="1" applyFill="1" applyAlignment="1">
      <alignment vertical="center"/>
    </xf>
    <xf numFmtId="4" fontId="10" fillId="0" borderId="0" xfId="4" applyNumberFormat="1" applyFont="1" applyAlignment="1">
      <alignment vertical="center"/>
    </xf>
    <xf numFmtId="168" fontId="28" fillId="4" borderId="0" xfId="5" applyFont="1" applyFill="1" applyAlignment="1">
      <alignment vertical="center"/>
    </xf>
    <xf numFmtId="0" fontId="24" fillId="0" borderId="0" xfId="16" applyFont="1"/>
    <xf numFmtId="170" fontId="29" fillId="4" borderId="0" xfId="8" applyFont="1" applyFill="1" applyAlignment="1">
      <alignment vertical="center"/>
    </xf>
    <xf numFmtId="0" fontId="3" fillId="0" borderId="3" xfId="0" applyFont="1" applyBorder="1" applyAlignment="1">
      <alignment vertical="center"/>
    </xf>
    <xf numFmtId="10" fontId="29" fillId="4" borderId="0" xfId="8" applyNumberFormat="1" applyFont="1" applyFill="1" applyAlignment="1">
      <alignment vertical="center"/>
    </xf>
    <xf numFmtId="44" fontId="8" fillId="4" borderId="23" xfId="1" applyFont="1" applyFill="1" applyBorder="1" applyAlignment="1">
      <alignment horizontal="center" vertical="center"/>
    </xf>
    <xf numFmtId="0" fontId="30" fillId="0" borderId="0" xfId="4" applyFont="1" applyAlignment="1">
      <alignment vertical="center"/>
    </xf>
    <xf numFmtId="0" fontId="30" fillId="4" borderId="0" xfId="4" applyFont="1" applyFill="1" applyAlignment="1">
      <alignment vertical="center"/>
    </xf>
    <xf numFmtId="0" fontId="31" fillId="6" borderId="0" xfId="0" applyFont="1" applyFill="1" applyAlignment="1">
      <alignment vertical="center"/>
    </xf>
    <xf numFmtId="0" fontId="8" fillId="6" borderId="0" xfId="0" applyFont="1" applyFill="1" applyAlignment="1">
      <alignment vertical="center"/>
    </xf>
    <xf numFmtId="0" fontId="35" fillId="0" borderId="0" xfId="0" applyFont="1" applyAlignment="1">
      <alignment vertical="center" wrapText="1"/>
    </xf>
    <xf numFmtId="0" fontId="35" fillId="6" borderId="0" xfId="0" applyFont="1" applyFill="1" applyAlignment="1">
      <alignment vertical="center" wrapText="1"/>
    </xf>
    <xf numFmtId="49" fontId="33" fillId="6" borderId="60" xfId="0" applyNumberFormat="1" applyFont="1" applyFill="1" applyBorder="1" applyAlignment="1">
      <alignment horizontal="center" vertical="center" wrapText="1"/>
    </xf>
    <xf numFmtId="49" fontId="33" fillId="6" borderId="61" xfId="0" applyNumberFormat="1" applyFont="1" applyFill="1" applyBorder="1" applyAlignment="1">
      <alignment horizontal="center" vertical="center" wrapText="1"/>
    </xf>
    <xf numFmtId="0" fontId="33" fillId="6" borderId="62" xfId="0" applyFont="1" applyFill="1" applyBorder="1" applyAlignment="1">
      <alignment horizontal="center" vertical="center" wrapText="1"/>
    </xf>
    <xf numFmtId="166" fontId="33" fillId="6" borderId="62" xfId="0" applyNumberFormat="1" applyFont="1" applyFill="1" applyBorder="1" applyAlignment="1">
      <alignment horizontal="center" vertical="center" wrapText="1"/>
    </xf>
    <xf numFmtId="166" fontId="33" fillId="6" borderId="63" xfId="0" applyNumberFormat="1" applyFont="1" applyFill="1" applyBorder="1" applyAlignment="1">
      <alignment horizontal="center" vertical="center" wrapText="1"/>
    </xf>
    <xf numFmtId="0" fontId="31" fillId="0" borderId="0" xfId="0" applyFont="1" applyAlignment="1">
      <alignment vertical="center"/>
    </xf>
    <xf numFmtId="49" fontId="9" fillId="6" borderId="64" xfId="0" applyNumberFormat="1" applyFont="1" applyFill="1" applyBorder="1" applyAlignment="1">
      <alignment horizontal="center" vertical="center" wrapText="1"/>
    </xf>
    <xf numFmtId="49" fontId="9" fillId="6" borderId="65" xfId="0" applyNumberFormat="1" applyFont="1" applyFill="1" applyBorder="1" applyAlignment="1">
      <alignment horizontal="center" vertical="center" wrapText="1"/>
    </xf>
    <xf numFmtId="0" fontId="9" fillId="6" borderId="66" xfId="0" applyFont="1" applyFill="1" applyBorder="1" applyAlignment="1">
      <alignment vertical="center"/>
    </xf>
    <xf numFmtId="0" fontId="9" fillId="6" borderId="66" xfId="0" applyFont="1" applyFill="1" applyBorder="1" applyAlignment="1">
      <alignment horizontal="center" vertical="center"/>
    </xf>
    <xf numFmtId="167" fontId="9" fillId="6" borderId="66" xfId="0" applyNumberFormat="1" applyFont="1" applyFill="1" applyBorder="1" applyAlignment="1">
      <alignment vertical="center"/>
    </xf>
    <xf numFmtId="168" fontId="31" fillId="6" borderId="0" xfId="0" applyNumberFormat="1" applyFont="1" applyFill="1" applyAlignment="1">
      <alignment vertical="center"/>
    </xf>
    <xf numFmtId="0" fontId="9" fillId="6" borderId="69" xfId="0" applyFont="1" applyFill="1" applyBorder="1" applyAlignment="1">
      <alignment vertical="center"/>
    </xf>
    <xf numFmtId="0" fontId="9" fillId="6" borderId="69" xfId="0" applyFont="1" applyFill="1" applyBorder="1" applyAlignment="1">
      <alignment horizontal="center" vertical="center"/>
    </xf>
    <xf numFmtId="2" fontId="9" fillId="6" borderId="69" xfId="3" applyNumberFormat="1" applyFont="1" applyFill="1" applyBorder="1" applyAlignment="1">
      <alignment horizontal="center" vertical="center"/>
    </xf>
    <xf numFmtId="49" fontId="9" fillId="6" borderId="72" xfId="0" applyNumberFormat="1" applyFont="1" applyFill="1" applyBorder="1" applyAlignment="1">
      <alignment horizontal="center" vertical="center" wrapText="1"/>
    </xf>
    <xf numFmtId="0" fontId="9" fillId="6" borderId="69" xfId="0" applyFont="1" applyFill="1" applyBorder="1" applyAlignment="1">
      <alignment vertical="center" wrapText="1"/>
    </xf>
    <xf numFmtId="49" fontId="33" fillId="6" borderId="77" xfId="0" applyNumberFormat="1" applyFont="1" applyFill="1" applyBorder="1" applyAlignment="1">
      <alignment horizontal="center" vertical="center"/>
    </xf>
    <xf numFmtId="49" fontId="33" fillId="6" borderId="32" xfId="0" applyNumberFormat="1" applyFont="1" applyFill="1" applyBorder="1" applyAlignment="1">
      <alignment horizontal="center" vertical="center"/>
    </xf>
    <xf numFmtId="0" fontId="36" fillId="0" borderId="0" xfId="0" applyFont="1" applyAlignment="1">
      <alignment vertical="center"/>
    </xf>
    <xf numFmtId="167" fontId="36" fillId="6" borderId="0" xfId="0" applyNumberFormat="1" applyFont="1" applyFill="1" applyAlignment="1">
      <alignment vertical="center"/>
    </xf>
    <xf numFmtId="0" fontId="36" fillId="6" borderId="0" xfId="0" applyFont="1" applyFill="1" applyAlignment="1">
      <alignment vertical="center"/>
    </xf>
    <xf numFmtId="0" fontId="14" fillId="6" borderId="0" xfId="0" applyFont="1" applyFill="1" applyAlignment="1">
      <alignment vertical="center"/>
    </xf>
    <xf numFmtId="0" fontId="0" fillId="0" borderId="0" xfId="0" applyAlignment="1">
      <alignment horizontal="center"/>
    </xf>
    <xf numFmtId="166" fontId="0" fillId="0" borderId="0" xfId="0" applyNumberFormat="1"/>
    <xf numFmtId="166" fontId="0" fillId="0" borderId="0" xfId="0" applyNumberFormat="1" applyAlignment="1">
      <alignment horizontal="center"/>
    </xf>
    <xf numFmtId="0" fontId="37" fillId="0" borderId="0" xfId="0" applyFont="1" applyAlignment="1">
      <alignment vertical="center"/>
    </xf>
    <xf numFmtId="168" fontId="38" fillId="6" borderId="0" xfId="0" applyNumberFormat="1" applyFont="1" applyFill="1" applyAlignment="1">
      <alignment vertical="center"/>
    </xf>
    <xf numFmtId="168" fontId="37" fillId="6" borderId="0" xfId="0" applyNumberFormat="1" applyFont="1" applyFill="1" applyAlignment="1">
      <alignment vertical="center"/>
    </xf>
    <xf numFmtId="0" fontId="37" fillId="6" borderId="0" xfId="0" applyFont="1" applyFill="1" applyAlignment="1">
      <alignment vertical="center"/>
    </xf>
    <xf numFmtId="0" fontId="39" fillId="0" borderId="0" xfId="0" applyFont="1" applyAlignment="1">
      <alignment vertical="center"/>
    </xf>
    <xf numFmtId="0" fontId="39" fillId="6" borderId="0" xfId="0" applyFont="1" applyFill="1" applyAlignment="1">
      <alignment vertical="center"/>
    </xf>
    <xf numFmtId="168" fontId="39" fillId="6" borderId="0" xfId="0" applyNumberFormat="1" applyFont="1" applyFill="1" applyAlignment="1">
      <alignment vertical="center"/>
    </xf>
    <xf numFmtId="0" fontId="25" fillId="0" borderId="0" xfId="0" applyFont="1" applyAlignment="1">
      <alignment horizontal="center" vertical="center"/>
    </xf>
    <xf numFmtId="166" fontId="25" fillId="0" borderId="0" xfId="0" applyNumberFormat="1" applyFont="1" applyAlignment="1">
      <alignment vertical="center"/>
    </xf>
    <xf numFmtId="0" fontId="24" fillId="0" borderId="0" xfId="16" applyFont="1" applyAlignment="1">
      <alignment horizontal="center"/>
    </xf>
    <xf numFmtId="166" fontId="24" fillId="0" borderId="0" xfId="16" applyNumberFormat="1" applyFont="1"/>
    <xf numFmtId="166" fontId="24" fillId="0" borderId="0" xfId="16" applyNumberFormat="1" applyFont="1" applyAlignment="1">
      <alignment horizontal="center"/>
    </xf>
    <xf numFmtId="0" fontId="7" fillId="0" borderId="0" xfId="0" applyFont="1" applyAlignment="1">
      <alignment horizontal="center"/>
    </xf>
    <xf numFmtId="166" fontId="7" fillId="0" borderId="0" xfId="0" applyNumberFormat="1" applyFont="1"/>
    <xf numFmtId="166" fontId="3" fillId="0" borderId="0" xfId="0" applyNumberFormat="1" applyFont="1" applyAlignment="1">
      <alignment horizontal="center" vertical="center"/>
    </xf>
    <xf numFmtId="49" fontId="8" fillId="6" borderId="0" xfId="0" applyNumberFormat="1" applyFont="1" applyFill="1" applyAlignment="1">
      <alignment horizontal="center" vertical="center"/>
    </xf>
    <xf numFmtId="0" fontId="3" fillId="0" borderId="3" xfId="0" applyFont="1" applyBorder="1" applyAlignment="1">
      <alignment horizontal="center" vertical="center"/>
    </xf>
    <xf numFmtId="166" fontId="3" fillId="0" borderId="3" xfId="0" applyNumberFormat="1" applyFont="1" applyBorder="1" applyAlignment="1">
      <alignment vertical="center"/>
    </xf>
    <xf numFmtId="166" fontId="3" fillId="0" borderId="3" xfId="0" applyNumberFormat="1" applyFont="1" applyBorder="1" applyAlignment="1">
      <alignment horizontal="center" vertical="center"/>
    </xf>
    <xf numFmtId="0" fontId="39" fillId="6" borderId="0" xfId="0" applyFont="1" applyFill="1" applyAlignment="1">
      <alignment horizontal="center" vertical="center"/>
    </xf>
    <xf numFmtId="166" fontId="39" fillId="6" borderId="0" xfId="0" applyNumberFormat="1" applyFont="1" applyFill="1" applyAlignment="1">
      <alignment vertical="center"/>
    </xf>
    <xf numFmtId="166" fontId="39" fillId="6" borderId="0" xfId="0" applyNumberFormat="1" applyFont="1" applyFill="1" applyAlignment="1">
      <alignment horizontal="center" vertical="center"/>
    </xf>
    <xf numFmtId="0" fontId="8" fillId="6" borderId="0" xfId="0" applyFont="1" applyFill="1" applyAlignment="1">
      <alignment horizontal="center" vertical="center"/>
    </xf>
    <xf numFmtId="166" fontId="8" fillId="6" borderId="0" xfId="0" applyNumberFormat="1" applyFont="1" applyFill="1" applyAlignment="1">
      <alignment vertical="center"/>
    </xf>
    <xf numFmtId="166" fontId="8" fillId="6" borderId="0" xfId="0" applyNumberFormat="1" applyFont="1" applyFill="1" applyAlignment="1">
      <alignment horizontal="center" vertical="center"/>
    </xf>
    <xf numFmtId="0" fontId="0" fillId="0" borderId="1" xfId="0" applyBorder="1" applyAlignment="1">
      <alignment horizontal="left" wrapText="1"/>
    </xf>
    <xf numFmtId="44" fontId="0" fillId="0" borderId="1" xfId="1" applyFont="1" applyBorder="1" applyAlignment="1">
      <alignment horizontal="left" wrapText="1"/>
    </xf>
    <xf numFmtId="0" fontId="3" fillId="0" borderId="0" xfId="0" applyFont="1" applyAlignment="1">
      <alignment horizontal="left" vertical="center" wrapText="1"/>
    </xf>
    <xf numFmtId="167" fontId="9" fillId="0" borderId="66" xfId="0" applyNumberFormat="1" applyFont="1" applyFill="1" applyBorder="1" applyAlignment="1">
      <alignment vertical="center"/>
    </xf>
    <xf numFmtId="164" fontId="2" fillId="7" borderId="1" xfId="1" applyNumberFormat="1" applyFont="1" applyFill="1" applyBorder="1" applyAlignment="1">
      <alignment horizontal="center"/>
    </xf>
    <xf numFmtId="0" fontId="0" fillId="7" borderId="1" xfId="0" applyFill="1" applyBorder="1"/>
    <xf numFmtId="44" fontId="0" fillId="7" borderId="1" xfId="1" applyFont="1" applyFill="1" applyBorder="1" applyAlignment="1">
      <alignment horizontal="left" wrapText="1"/>
    </xf>
    <xf numFmtId="0" fontId="0" fillId="7" borderId="1" xfId="0" applyFill="1" applyBorder="1" applyAlignment="1">
      <alignment horizontal="left"/>
    </xf>
    <xf numFmtId="44" fontId="0" fillId="9" borderId="1" xfId="1" applyFont="1" applyFill="1" applyBorder="1" applyAlignment="1">
      <alignment horizontal="left" wrapText="1"/>
    </xf>
    <xf numFmtId="0" fontId="0" fillId="9" borderId="1" xfId="0" applyFill="1" applyBorder="1" applyAlignment="1">
      <alignment horizontal="left" vertical="center"/>
    </xf>
    <xf numFmtId="0" fontId="0" fillId="9" borderId="1" xfId="0" applyFill="1" applyBorder="1" applyAlignment="1">
      <alignment horizontal="left"/>
    </xf>
    <xf numFmtId="0" fontId="0" fillId="9" borderId="1" xfId="0" applyFill="1" applyBorder="1"/>
    <xf numFmtId="44" fontId="2" fillId="7" borderId="1" xfId="1" applyFont="1" applyFill="1" applyBorder="1"/>
    <xf numFmtId="168" fontId="14" fillId="2" borderId="80" xfId="5" applyFont="1" applyFill="1" applyBorder="1" applyAlignment="1">
      <alignment horizontal="center" vertical="center" wrapText="1"/>
    </xf>
    <xf numFmtId="169" fontId="14" fillId="2" borderId="80" xfId="6" applyNumberFormat="1" applyFont="1" applyFill="1" applyBorder="1" applyAlignment="1">
      <alignment horizontal="center" vertical="center" wrapText="1"/>
    </xf>
    <xf numFmtId="4" fontId="14" fillId="2" borderId="41" xfId="4" applyNumberFormat="1" applyFont="1" applyFill="1" applyBorder="1" applyAlignment="1">
      <alignment horizontal="center" vertical="center" wrapText="1"/>
    </xf>
    <xf numFmtId="0" fontId="14" fillId="9" borderId="13" xfId="4" applyFont="1" applyFill="1" applyBorder="1" applyAlignment="1">
      <alignment horizontal="center" vertical="center" wrapText="1"/>
    </xf>
    <xf numFmtId="0" fontId="14" fillId="9" borderId="35" xfId="4" applyFont="1" applyFill="1" applyBorder="1" applyAlignment="1">
      <alignment horizontal="center" vertical="center" wrapText="1"/>
    </xf>
    <xf numFmtId="168" fontId="14" fillId="7" borderId="80" xfId="5" applyFont="1" applyFill="1" applyBorder="1" applyAlignment="1">
      <alignment horizontal="center" vertical="center" wrapText="1"/>
    </xf>
    <xf numFmtId="169" fontId="14" fillId="7" borderId="80" xfId="6" applyNumberFormat="1" applyFont="1" applyFill="1" applyBorder="1" applyAlignment="1">
      <alignment horizontal="center" vertical="center" wrapText="1"/>
    </xf>
    <xf numFmtId="4" fontId="14" fillId="7" borderId="41" xfId="4" applyNumberFormat="1" applyFont="1" applyFill="1" applyBorder="1" applyAlignment="1">
      <alignment horizontal="center" vertical="center" wrapText="1"/>
    </xf>
    <xf numFmtId="0" fontId="14" fillId="7" borderId="35" xfId="4" applyFont="1" applyFill="1" applyBorder="1" applyAlignment="1">
      <alignment horizontal="center" vertical="center" wrapText="1"/>
    </xf>
    <xf numFmtId="168" fontId="14" fillId="7" borderId="35" xfId="5" applyFont="1" applyFill="1" applyBorder="1" applyAlignment="1">
      <alignment horizontal="center" vertical="center" wrapText="1"/>
    </xf>
    <xf numFmtId="169" fontId="14" fillId="7" borderId="35" xfId="6" applyNumberFormat="1" applyFont="1" applyFill="1" applyBorder="1" applyAlignment="1">
      <alignment horizontal="center" vertical="center" wrapText="1"/>
    </xf>
    <xf numFmtId="4" fontId="14" fillId="7" borderId="38" xfId="4" applyNumberFormat="1" applyFont="1" applyFill="1" applyBorder="1" applyAlignment="1">
      <alignment horizontal="center" vertical="center" wrapText="1"/>
    </xf>
    <xf numFmtId="175" fontId="8" fillId="4" borderId="1" xfId="8" applyNumberFormat="1" applyFont="1" applyFill="1" applyBorder="1" applyAlignment="1">
      <alignment horizontal="center" vertical="center"/>
    </xf>
    <xf numFmtId="175" fontId="15" fillId="4" borderId="1" xfId="6" applyNumberFormat="1" applyFont="1" applyFill="1" applyBorder="1" applyAlignment="1">
      <alignment vertical="center"/>
    </xf>
    <xf numFmtId="175" fontId="8" fillId="4" borderId="20" xfId="8" applyNumberFormat="1" applyFont="1" applyFill="1" applyBorder="1" applyAlignment="1">
      <alignment vertical="center"/>
    </xf>
    <xf numFmtId="175" fontId="8" fillId="4" borderId="1" xfId="11" applyNumberFormat="1" applyFont="1" applyFill="1" applyBorder="1" applyAlignment="1">
      <alignment horizontal="center" vertical="center"/>
    </xf>
    <xf numFmtId="175" fontId="8" fillId="4" borderId="23" xfId="5" applyNumberFormat="1" applyFont="1" applyFill="1" applyBorder="1" applyAlignment="1">
      <alignment horizontal="center" vertical="center"/>
    </xf>
    <xf numFmtId="175" fontId="8" fillId="4" borderId="24" xfId="10" applyNumberFormat="1" applyFont="1" applyFill="1" applyBorder="1" applyAlignment="1">
      <alignment horizontal="right" vertical="center"/>
    </xf>
    <xf numFmtId="3" fontId="8" fillId="4" borderId="20" xfId="10" applyNumberFormat="1" applyFont="1" applyFill="1" applyBorder="1" applyAlignment="1">
      <alignment horizontal="right" vertical="center"/>
    </xf>
    <xf numFmtId="168" fontId="8" fillId="4" borderId="81" xfId="5" applyFont="1" applyFill="1" applyBorder="1" applyAlignment="1">
      <alignment horizontal="center" vertical="center"/>
    </xf>
    <xf numFmtId="3" fontId="8" fillId="4" borderId="81" xfId="5" applyNumberFormat="1" applyFont="1" applyFill="1" applyBorder="1" applyAlignment="1">
      <alignment horizontal="center" vertical="center"/>
    </xf>
    <xf numFmtId="2" fontId="14" fillId="4" borderId="22" xfId="4" applyNumberFormat="1" applyFont="1" applyFill="1" applyBorder="1" applyAlignment="1">
      <alignment horizontal="center" vertical="center"/>
    </xf>
    <xf numFmtId="3" fontId="8" fillId="4" borderId="23" xfId="5" applyNumberFormat="1" applyFont="1" applyFill="1" applyBorder="1" applyAlignment="1">
      <alignment horizontal="center" vertical="center"/>
    </xf>
    <xf numFmtId="0" fontId="0" fillId="0" borderId="31" xfId="0" applyBorder="1"/>
    <xf numFmtId="0" fontId="0" fillId="0" borderId="32" xfId="0" applyBorder="1"/>
    <xf numFmtId="0" fontId="0" fillId="0" borderId="46" xfId="0" applyBorder="1"/>
    <xf numFmtId="0" fontId="0" fillId="0" borderId="21" xfId="0" applyBorder="1"/>
    <xf numFmtId="0" fontId="0" fillId="0" borderId="0" xfId="0" applyBorder="1"/>
    <xf numFmtId="0" fontId="0" fillId="0" borderId="28" xfId="0" applyBorder="1"/>
    <xf numFmtId="0" fontId="0" fillId="0" borderId="29" xfId="0" applyBorder="1"/>
    <xf numFmtId="4" fontId="8" fillId="0" borderId="31" xfId="4" applyNumberFormat="1" applyBorder="1" applyAlignment="1">
      <alignment vertical="center"/>
    </xf>
    <xf numFmtId="0" fontId="8" fillId="0" borderId="32" xfId="4" applyBorder="1" applyAlignment="1">
      <alignment vertical="center"/>
    </xf>
    <xf numFmtId="0" fontId="8" fillId="4" borderId="32" xfId="4" applyFill="1" applyBorder="1" applyAlignment="1">
      <alignment vertical="center"/>
    </xf>
    <xf numFmtId="0" fontId="8" fillId="4" borderId="33" xfId="4" applyFill="1" applyBorder="1" applyAlignment="1">
      <alignment vertical="center"/>
    </xf>
    <xf numFmtId="0" fontId="13" fillId="4" borderId="28" xfId="4" applyFont="1" applyFill="1" applyBorder="1" applyAlignment="1">
      <alignment vertical="center" wrapText="1"/>
    </xf>
    <xf numFmtId="0" fontId="13" fillId="4" borderId="29" xfId="4" applyFont="1" applyFill="1" applyBorder="1" applyAlignment="1">
      <alignment vertical="center" wrapText="1"/>
    </xf>
    <xf numFmtId="4" fontId="14" fillId="7" borderId="24" xfId="8" applyNumberFormat="1" applyFont="1" applyFill="1" applyBorder="1" applyAlignment="1">
      <alignment vertical="center"/>
    </xf>
    <xf numFmtId="0" fontId="21" fillId="4" borderId="25" xfId="4" applyFont="1" applyFill="1" applyBorder="1" applyAlignment="1">
      <alignment horizontal="center" vertical="center" wrapText="1"/>
    </xf>
    <xf numFmtId="0" fontId="21" fillId="4" borderId="26" xfId="4" applyFont="1" applyFill="1" applyBorder="1" applyAlignment="1">
      <alignment horizontal="center" vertical="center" wrapText="1"/>
    </xf>
    <xf numFmtId="175" fontId="8" fillId="4" borderId="19" xfId="4" applyNumberFormat="1" applyFill="1" applyBorder="1" applyAlignment="1">
      <alignment horizontal="center" vertical="center"/>
    </xf>
    <xf numFmtId="175" fontId="8" fillId="0" borderId="1" xfId="7" applyNumberFormat="1" applyFont="1" applyBorder="1" applyAlignment="1">
      <alignment vertical="center"/>
    </xf>
    <xf numFmtId="175" fontId="8" fillId="4" borderId="1" xfId="4" applyNumberFormat="1" applyFill="1" applyBorder="1" applyAlignment="1">
      <alignment horizontal="center" vertical="center"/>
    </xf>
    <xf numFmtId="175" fontId="14" fillId="4" borderId="1" xfId="4" applyNumberFormat="1" applyFont="1" applyFill="1" applyBorder="1" applyAlignment="1">
      <alignment horizontal="center" vertical="center"/>
    </xf>
    <xf numFmtId="175" fontId="8" fillId="4" borderId="1" xfId="5" applyNumberFormat="1" applyFont="1" applyFill="1" applyBorder="1" applyAlignment="1">
      <alignment horizontal="center" vertical="center"/>
    </xf>
    <xf numFmtId="175" fontId="8" fillId="4" borderId="20" xfId="10" applyNumberFormat="1" applyFont="1" applyFill="1" applyBorder="1" applyAlignment="1">
      <alignment horizontal="right" vertical="center"/>
    </xf>
    <xf numFmtId="175" fontId="14" fillId="4" borderId="19" xfId="4" applyNumberFormat="1" applyFont="1" applyFill="1" applyBorder="1" applyAlignment="1">
      <alignment horizontal="center" vertical="center"/>
    </xf>
    <xf numFmtId="175" fontId="14" fillId="4" borderId="1" xfId="4" applyNumberFormat="1" applyFont="1" applyFill="1" applyBorder="1" applyAlignment="1">
      <alignment vertical="center"/>
    </xf>
    <xf numFmtId="175" fontId="8" fillId="4" borderId="1" xfId="4" applyNumberFormat="1" applyFill="1" applyBorder="1" applyAlignment="1">
      <alignment vertical="center"/>
    </xf>
    <xf numFmtId="175" fontId="8" fillId="4" borderId="57" xfId="4" applyNumberFormat="1" applyFill="1" applyBorder="1" applyAlignment="1">
      <alignment horizontal="center" vertical="center"/>
    </xf>
    <xf numFmtId="175" fontId="8" fillId="4" borderId="1" xfId="10" applyNumberFormat="1" applyFont="1" applyFill="1" applyBorder="1" applyAlignment="1">
      <alignment horizontal="right" vertical="center"/>
    </xf>
    <xf numFmtId="175" fontId="14" fillId="4" borderId="1" xfId="5" applyNumberFormat="1" applyFont="1" applyFill="1" applyBorder="1" applyAlignment="1">
      <alignment horizontal="center" vertical="center"/>
    </xf>
    <xf numFmtId="175" fontId="14" fillId="4" borderId="20" xfId="4" applyNumberFormat="1" applyFont="1" applyFill="1" applyBorder="1" applyAlignment="1">
      <alignment horizontal="center" vertical="center"/>
    </xf>
    <xf numFmtId="175" fontId="8" fillId="4" borderId="1" xfId="4" applyNumberFormat="1" applyFill="1" applyBorder="1" applyAlignment="1">
      <alignment vertical="center" wrapText="1"/>
    </xf>
    <xf numFmtId="175" fontId="8" fillId="4" borderId="23" xfId="4" applyNumberFormat="1" applyFill="1" applyBorder="1" applyAlignment="1">
      <alignment horizontal="left" vertical="center" wrapText="1"/>
    </xf>
    <xf numFmtId="175" fontId="8" fillId="0" borderId="23" xfId="8" applyNumberFormat="1" applyFont="1" applyFill="1" applyBorder="1" applyAlignment="1">
      <alignment horizontal="center" vertical="center"/>
    </xf>
    <xf numFmtId="175" fontId="8" fillId="4" borderId="23" xfId="4" applyNumberFormat="1" applyFill="1" applyBorder="1" applyAlignment="1">
      <alignment horizontal="center" vertical="center"/>
    </xf>
    <xf numFmtId="175" fontId="14" fillId="4" borderId="23" xfId="4" applyNumberFormat="1" applyFont="1" applyFill="1" applyBorder="1" applyAlignment="1">
      <alignment horizontal="center" vertical="center"/>
    </xf>
    <xf numFmtId="175" fontId="8" fillId="4" borderId="23" xfId="1" applyNumberFormat="1" applyFont="1" applyFill="1" applyBorder="1" applyAlignment="1">
      <alignment horizontal="center" vertical="center"/>
    </xf>
    <xf numFmtId="175" fontId="14" fillId="4" borderId="12" xfId="4" applyNumberFormat="1" applyFont="1" applyFill="1" applyBorder="1" applyAlignment="1">
      <alignment horizontal="center" vertical="center"/>
    </xf>
    <xf numFmtId="175" fontId="14" fillId="5" borderId="14" xfId="4" applyNumberFormat="1" applyFont="1" applyFill="1" applyBorder="1" applyAlignment="1">
      <alignment vertical="center"/>
    </xf>
    <xf numFmtId="175" fontId="8" fillId="4" borderId="52" xfId="4" applyNumberFormat="1" applyFill="1" applyBorder="1" applyAlignment="1">
      <alignment horizontal="center" vertical="center"/>
    </xf>
    <xf numFmtId="175" fontId="8" fillId="0" borderId="0" xfId="4" applyNumberFormat="1" applyAlignment="1">
      <alignment horizontal="center" vertical="center"/>
    </xf>
    <xf numFmtId="175" fontId="18" fillId="0" borderId="0" xfId="7" applyNumberFormat="1" applyFont="1" applyAlignment="1">
      <alignment horizontal="justify" vertical="center"/>
    </xf>
    <xf numFmtId="175" fontId="8" fillId="0" borderId="0" xfId="4" applyNumberFormat="1" applyAlignment="1">
      <alignment vertical="center"/>
    </xf>
    <xf numFmtId="175" fontId="8" fillId="0" borderId="0" xfId="5" applyNumberFormat="1" applyFont="1" applyFill="1" applyAlignment="1">
      <alignment vertical="center"/>
    </xf>
    <xf numFmtId="175" fontId="19" fillId="0" borderId="0" xfId="6" applyNumberFormat="1" applyFont="1" applyFill="1" applyAlignment="1">
      <alignment vertical="center"/>
    </xf>
    <xf numFmtId="175" fontId="8" fillId="0" borderId="0" xfId="13" applyNumberFormat="1" applyAlignment="1">
      <alignment vertical="center"/>
    </xf>
    <xf numFmtId="175" fontId="30" fillId="0" borderId="0" xfId="6" applyNumberFormat="1" applyFont="1" applyFill="1" applyAlignment="1">
      <alignment vertical="center"/>
    </xf>
    <xf numFmtId="175" fontId="31" fillId="0" borderId="0" xfId="4" applyNumberFormat="1" applyFont="1" applyAlignment="1">
      <alignment vertical="center"/>
    </xf>
    <xf numFmtId="175" fontId="9" fillId="0" borderId="0" xfId="4" applyNumberFormat="1" applyFont="1" applyAlignment="1">
      <alignment horizontal="center" vertical="center"/>
    </xf>
    <xf numFmtId="175" fontId="9" fillId="0" borderId="0" xfId="4" applyNumberFormat="1" applyFont="1" applyAlignment="1">
      <alignment vertical="center"/>
    </xf>
    <xf numFmtId="175" fontId="20" fillId="0" borderId="0" xfId="4" applyNumberFormat="1" applyFont="1" applyAlignment="1">
      <alignment vertical="center"/>
    </xf>
    <xf numFmtId="175" fontId="32" fillId="0" borderId="0" xfId="4" applyNumberFormat="1" applyFont="1" applyAlignment="1">
      <alignment vertical="center"/>
    </xf>
    <xf numFmtId="175" fontId="14" fillId="0" borderId="0" xfId="7" applyNumberFormat="1" applyFont="1" applyAlignment="1">
      <alignment vertical="center" wrapText="1"/>
    </xf>
    <xf numFmtId="175" fontId="21" fillId="0" borderId="0" xfId="0" applyNumberFormat="1" applyFont="1" applyAlignment="1">
      <alignment vertical="center"/>
    </xf>
    <xf numFmtId="175" fontId="8" fillId="0" borderId="0" xfId="0" applyNumberFormat="1" applyFont="1" applyAlignment="1">
      <alignment vertical="center"/>
    </xf>
    <xf numFmtId="175" fontId="10" fillId="0" borderId="0" xfId="4" applyNumberFormat="1" applyFont="1" applyAlignment="1">
      <alignment horizontal="center" vertical="center"/>
    </xf>
    <xf numFmtId="175" fontId="22" fillId="0" borderId="0" xfId="0" applyNumberFormat="1" applyFont="1" applyAlignment="1">
      <alignment vertical="center"/>
    </xf>
    <xf numFmtId="175" fontId="23" fillId="0" borderId="0" xfId="14" applyNumberFormat="1" applyFont="1" applyFill="1" applyBorder="1" applyAlignment="1">
      <alignment vertical="center"/>
    </xf>
    <xf numFmtId="175" fontId="24" fillId="0" borderId="0" xfId="0" applyNumberFormat="1" applyFont="1" applyAlignment="1">
      <alignment vertical="center"/>
    </xf>
    <xf numFmtId="175" fontId="27" fillId="0" borderId="0" xfId="0" applyNumberFormat="1" applyFont="1"/>
    <xf numFmtId="175" fontId="10" fillId="0" borderId="0" xfId="4" applyNumberFormat="1" applyFont="1" applyAlignment="1">
      <alignment vertical="center"/>
    </xf>
    <xf numFmtId="175" fontId="10" fillId="0" borderId="0" xfId="5" applyNumberFormat="1" applyFont="1" applyFill="1" applyAlignment="1">
      <alignment vertical="center"/>
    </xf>
    <xf numFmtId="175" fontId="12" fillId="0" borderId="0" xfId="6" applyNumberFormat="1" applyFont="1" applyFill="1" applyAlignment="1">
      <alignment vertical="center"/>
    </xf>
    <xf numFmtId="43" fontId="14" fillId="4" borderId="1" xfId="17" applyFont="1" applyFill="1" applyBorder="1" applyAlignment="1">
      <alignment horizontal="center" vertical="center"/>
    </xf>
    <xf numFmtId="175" fontId="14" fillId="4" borderId="0" xfId="4" applyNumberFormat="1" applyFont="1" applyFill="1" applyBorder="1" applyAlignment="1">
      <alignment vertical="center"/>
    </xf>
    <xf numFmtId="175" fontId="14" fillId="4" borderId="0" xfId="4" applyNumberFormat="1" applyFont="1" applyFill="1" applyBorder="1" applyAlignment="1">
      <alignment horizontal="center" vertical="center"/>
    </xf>
    <xf numFmtId="175" fontId="8" fillId="4" borderId="0" xfId="8" applyNumberFormat="1" applyFont="1" applyFill="1" applyBorder="1" applyAlignment="1">
      <alignment vertical="center"/>
    </xf>
    <xf numFmtId="0" fontId="14" fillId="7" borderId="13" xfId="4" applyFont="1" applyFill="1" applyBorder="1" applyAlignment="1">
      <alignment horizontal="center" vertical="center" wrapText="1"/>
    </xf>
    <xf numFmtId="168" fontId="14" fillId="7" borderId="13" xfId="5" applyFont="1" applyFill="1" applyBorder="1" applyAlignment="1">
      <alignment horizontal="center" vertical="center" wrapText="1"/>
    </xf>
    <xf numFmtId="169" fontId="14" fillId="7" borderId="13" xfId="6" applyNumberFormat="1" applyFont="1" applyFill="1" applyBorder="1" applyAlignment="1">
      <alignment horizontal="center" vertical="center" wrapText="1"/>
    </xf>
    <xf numFmtId="4" fontId="14" fillId="7" borderId="14" xfId="4" applyNumberFormat="1" applyFont="1" applyFill="1" applyBorder="1" applyAlignment="1">
      <alignment horizontal="center" vertical="center" wrapText="1"/>
    </xf>
    <xf numFmtId="9" fontId="8" fillId="4" borderId="1" xfId="3" applyFont="1" applyFill="1" applyBorder="1" applyAlignment="1">
      <alignment horizontal="center" vertical="center"/>
    </xf>
    <xf numFmtId="177" fontId="8" fillId="4" borderId="80" xfId="17" applyNumberFormat="1" applyFont="1" applyFill="1" applyBorder="1" applyAlignment="1">
      <alignment horizontal="center" vertical="center"/>
    </xf>
    <xf numFmtId="177" fontId="8" fillId="4" borderId="1" xfId="17" applyNumberFormat="1" applyFont="1" applyFill="1" applyBorder="1" applyAlignment="1">
      <alignment horizontal="center" vertical="center"/>
    </xf>
    <xf numFmtId="175" fontId="15" fillId="0" borderId="0" xfId="6" applyNumberFormat="1" applyFont="1" applyFill="1" applyAlignment="1">
      <alignment vertical="center"/>
    </xf>
    <xf numFmtId="175" fontId="14" fillId="5" borderId="25" xfId="4" applyNumberFormat="1" applyFont="1" applyFill="1" applyBorder="1" applyAlignment="1">
      <alignment vertical="center"/>
    </xf>
    <xf numFmtId="175" fontId="14" fillId="5" borderId="26" xfId="4" applyNumberFormat="1" applyFont="1" applyFill="1" applyBorder="1" applyAlignment="1">
      <alignment vertical="center"/>
    </xf>
    <xf numFmtId="175" fontId="14" fillId="4" borderId="21" xfId="4" applyNumberFormat="1" applyFont="1" applyFill="1" applyBorder="1" applyAlignment="1">
      <alignment horizontal="center" vertical="center"/>
    </xf>
    <xf numFmtId="0" fontId="8" fillId="0" borderId="83" xfId="4" applyBorder="1" applyAlignment="1">
      <alignment vertical="center"/>
    </xf>
    <xf numFmtId="175" fontId="8" fillId="4" borderId="21" xfId="8" applyNumberFormat="1" applyFont="1" applyFill="1" applyBorder="1" applyAlignment="1">
      <alignment vertical="center"/>
    </xf>
    <xf numFmtId="0" fontId="0" fillId="0" borderId="30" xfId="0" applyBorder="1"/>
    <xf numFmtId="175" fontId="8" fillId="4" borderId="84" xfId="8" applyNumberFormat="1" applyFont="1" applyFill="1" applyBorder="1" applyAlignment="1">
      <alignment vertical="center"/>
    </xf>
    <xf numFmtId="175" fontId="14" fillId="2" borderId="82" xfId="8" applyNumberFormat="1" applyFont="1" applyFill="1" applyBorder="1" applyAlignment="1">
      <alignment vertical="center"/>
    </xf>
    <xf numFmtId="0" fontId="2" fillId="0" borderId="2" xfId="0" applyFont="1" applyBorder="1" applyAlignment="1">
      <alignment vertical="center" wrapText="1"/>
    </xf>
    <xf numFmtId="0" fontId="2" fillId="0" borderId="0" xfId="0" applyFont="1" applyAlignment="1">
      <alignment vertical="center" wrapText="1"/>
    </xf>
    <xf numFmtId="0" fontId="4" fillId="3" borderId="83" xfId="0" applyFont="1" applyFill="1" applyBorder="1" applyAlignment="1">
      <alignment horizontal="center" vertical="center" wrapText="1"/>
    </xf>
    <xf numFmtId="0" fontId="4" fillId="7" borderId="83" xfId="0" applyFont="1" applyFill="1" applyBorder="1" applyAlignment="1">
      <alignment horizontal="center" vertical="center" wrapText="1"/>
    </xf>
    <xf numFmtId="0" fontId="0" fillId="0" borderId="83" xfId="0" applyBorder="1"/>
    <xf numFmtId="164" fontId="3" fillId="0" borderId="51" xfId="1" applyNumberFormat="1" applyFont="1" applyFill="1" applyBorder="1" applyAlignment="1">
      <alignment horizontal="center" vertical="center"/>
    </xf>
    <xf numFmtId="164" fontId="4" fillId="0" borderId="47" xfId="0" applyNumberFormat="1" applyFont="1" applyBorder="1" applyAlignment="1">
      <alignment horizontal="left" vertical="center"/>
    </xf>
    <xf numFmtId="164" fontId="4" fillId="0" borderId="48" xfId="0" applyNumberFormat="1" applyFont="1" applyBorder="1" applyAlignment="1">
      <alignment horizontal="left" vertical="center"/>
    </xf>
    <xf numFmtId="164" fontId="3" fillId="0" borderId="48" xfId="1" applyNumberFormat="1" applyFont="1" applyFill="1" applyBorder="1" applyAlignment="1">
      <alignment horizontal="center" vertical="center"/>
    </xf>
    <xf numFmtId="164" fontId="3" fillId="0" borderId="20" xfId="0" applyNumberFormat="1" applyFont="1" applyBorder="1" applyAlignment="1">
      <alignment vertical="center"/>
    </xf>
    <xf numFmtId="164" fontId="3" fillId="0" borderId="51" xfId="3" applyNumberFormat="1" applyFont="1" applyFill="1" applyBorder="1" applyAlignment="1">
      <alignment horizontal="center" vertical="center"/>
    </xf>
    <xf numFmtId="164" fontId="3" fillId="0" borderId="48" xfId="3" applyNumberFormat="1" applyFont="1" applyFill="1" applyBorder="1" applyAlignment="1">
      <alignment horizontal="center" vertical="center"/>
    </xf>
    <xf numFmtId="164" fontId="0" fillId="0" borderId="0" xfId="0" applyNumberFormat="1" applyBorder="1"/>
    <xf numFmtId="0" fontId="4" fillId="9" borderId="21" xfId="0" applyFont="1" applyFill="1" applyBorder="1" applyAlignment="1">
      <alignment horizontal="center" vertical="center" wrapText="1"/>
    </xf>
    <xf numFmtId="0" fontId="4" fillId="9" borderId="0" xfId="0" applyFont="1" applyFill="1" applyBorder="1" applyAlignment="1">
      <alignment horizontal="center" vertical="center" wrapText="1"/>
    </xf>
    <xf numFmtId="164" fontId="1" fillId="0" borderId="26" xfId="17" applyNumberFormat="1" applyFont="1" applyBorder="1" applyAlignment="1">
      <alignment vertical="center"/>
    </xf>
    <xf numFmtId="164" fontId="3" fillId="0" borderId="18" xfId="0" applyNumberFormat="1" applyFont="1" applyBorder="1" applyAlignment="1">
      <alignment vertical="center"/>
    </xf>
    <xf numFmtId="164" fontId="4" fillId="0" borderId="88" xfId="0" applyNumberFormat="1" applyFont="1" applyBorder="1" applyAlignment="1">
      <alignment horizontal="left" vertical="center"/>
    </xf>
    <xf numFmtId="164" fontId="4" fillId="0" borderId="89" xfId="0" applyNumberFormat="1" applyFont="1" applyBorder="1" applyAlignment="1">
      <alignment horizontal="left" vertical="center"/>
    </xf>
    <xf numFmtId="164" fontId="3" fillId="0" borderId="90" xfId="3" applyNumberFormat="1" applyFont="1" applyFill="1" applyBorder="1" applyAlignment="1">
      <alignment horizontal="center" vertical="center"/>
    </xf>
    <xf numFmtId="164" fontId="3" fillId="0" borderId="89" xfId="3" applyNumberFormat="1" applyFont="1" applyFill="1" applyBorder="1" applyAlignment="1">
      <alignment horizontal="center" vertical="center"/>
    </xf>
    <xf numFmtId="164" fontId="3" fillId="0" borderId="24" xfId="0" applyNumberFormat="1" applyFont="1" applyBorder="1" applyAlignment="1">
      <alignment vertical="center"/>
    </xf>
    <xf numFmtId="9" fontId="4" fillId="7" borderId="37" xfId="3" applyFont="1" applyFill="1" applyBorder="1" applyAlignment="1">
      <alignment horizontal="center" vertical="center" wrapText="1"/>
    </xf>
    <xf numFmtId="9" fontId="4" fillId="7" borderId="2" xfId="3" applyFont="1" applyFill="1" applyBorder="1" applyAlignment="1">
      <alignment horizontal="center" vertical="center"/>
    </xf>
    <xf numFmtId="9" fontId="4" fillId="2" borderId="2" xfId="3" applyFont="1" applyFill="1" applyBorder="1" applyAlignment="1">
      <alignment horizontal="center" vertical="center"/>
    </xf>
    <xf numFmtId="9" fontId="4" fillId="2" borderId="36" xfId="3" applyFont="1" applyFill="1" applyBorder="1" applyAlignment="1">
      <alignment horizontal="center" vertical="center" wrapText="1"/>
    </xf>
    <xf numFmtId="164" fontId="3" fillId="0" borderId="16" xfId="1" applyNumberFormat="1" applyFont="1" applyFill="1" applyBorder="1" applyAlignment="1">
      <alignment horizontal="center" vertical="center"/>
    </xf>
    <xf numFmtId="164" fontId="3" fillId="0" borderId="19" xfId="1" applyNumberFormat="1" applyFont="1" applyFill="1" applyBorder="1" applyAlignment="1">
      <alignment horizontal="center" vertical="center"/>
    </xf>
    <xf numFmtId="164" fontId="3" fillId="0" borderId="19" xfId="3" applyNumberFormat="1" applyFont="1" applyFill="1" applyBorder="1" applyAlignment="1">
      <alignment horizontal="center" vertical="center"/>
    </xf>
    <xf numFmtId="164" fontId="3" fillId="0" borderId="22" xfId="3" applyNumberFormat="1" applyFont="1" applyFill="1" applyBorder="1" applyAlignment="1">
      <alignment horizontal="center" vertical="center"/>
    </xf>
    <xf numFmtId="164" fontId="3" fillId="0" borderId="21" xfId="3" applyNumberFormat="1" applyFont="1" applyFill="1" applyBorder="1" applyAlignment="1">
      <alignment horizontal="center" vertical="center"/>
    </xf>
    <xf numFmtId="164" fontId="3" fillId="0" borderId="0" xfId="3" applyNumberFormat="1" applyFont="1" applyFill="1" applyBorder="1" applyAlignment="1">
      <alignment horizontal="center" vertical="center"/>
    </xf>
    <xf numFmtId="164" fontId="4" fillId="2" borderId="91" xfId="0" applyNumberFormat="1" applyFont="1" applyFill="1" applyBorder="1" applyAlignment="1">
      <alignment vertical="center"/>
    </xf>
    <xf numFmtId="164" fontId="4" fillId="7" borderId="91" xfId="0" applyNumberFormat="1" applyFont="1" applyFill="1" applyBorder="1" applyAlignment="1">
      <alignment vertical="center"/>
    </xf>
    <xf numFmtId="9" fontId="4" fillId="0" borderId="12" xfId="3" applyFont="1" applyFill="1" applyBorder="1" applyAlignment="1">
      <alignment vertical="center"/>
    </xf>
    <xf numFmtId="9" fontId="4" fillId="0" borderId="45" xfId="3" applyFont="1" applyFill="1" applyBorder="1" applyAlignment="1">
      <alignment vertical="center"/>
    </xf>
    <xf numFmtId="166" fontId="4" fillId="0" borderId="14" xfId="0" applyNumberFormat="1" applyFont="1" applyBorder="1" applyAlignment="1">
      <alignment vertical="center"/>
    </xf>
    <xf numFmtId="0" fontId="0" fillId="0" borderId="33" xfId="0" applyBorder="1"/>
    <xf numFmtId="164" fontId="3" fillId="0" borderId="17" xfId="1" applyNumberFormat="1" applyFont="1" applyFill="1" applyBorder="1" applyAlignment="1">
      <alignment horizontal="center" vertical="center"/>
    </xf>
    <xf numFmtId="164" fontId="3" fillId="0" borderId="87" xfId="17" applyNumberFormat="1" applyFont="1" applyFill="1" applyBorder="1" applyAlignment="1">
      <alignment horizontal="center" vertical="center"/>
    </xf>
    <xf numFmtId="164" fontId="3" fillId="0" borderId="47" xfId="0" applyNumberFormat="1" applyFont="1" applyBorder="1" applyAlignment="1">
      <alignment horizontal="left" vertical="center"/>
    </xf>
    <xf numFmtId="164" fontId="3" fillId="0" borderId="48" xfId="0" applyNumberFormat="1" applyFont="1" applyBorder="1" applyAlignment="1">
      <alignment horizontal="left" vertical="center"/>
    </xf>
    <xf numFmtId="0" fontId="14" fillId="4" borderId="29" xfId="4" applyFont="1" applyFill="1" applyBorder="1" applyAlignment="1">
      <alignment vertical="center"/>
    </xf>
    <xf numFmtId="0" fontId="14" fillId="4" borderId="40" xfId="4" applyFont="1" applyFill="1" applyBorder="1" applyAlignment="1">
      <alignment vertical="center"/>
    </xf>
    <xf numFmtId="0" fontId="14" fillId="4" borderId="32" xfId="4" applyFont="1" applyFill="1" applyBorder="1" applyAlignment="1">
      <alignment vertical="center"/>
    </xf>
    <xf numFmtId="0" fontId="17" fillId="4" borderId="46" xfId="4" applyFont="1" applyFill="1" applyBorder="1" applyAlignment="1">
      <alignment vertical="center"/>
    </xf>
    <xf numFmtId="49" fontId="14" fillId="4" borderId="47" xfId="4" applyNumberFormat="1" applyFont="1" applyFill="1" applyBorder="1" applyAlignment="1">
      <alignment vertical="center"/>
    </xf>
    <xf numFmtId="49" fontId="14" fillId="4" borderId="48" xfId="4" applyNumberFormat="1" applyFont="1" applyFill="1" applyBorder="1" applyAlignment="1">
      <alignment vertical="center"/>
    </xf>
    <xf numFmtId="49" fontId="14" fillId="4" borderId="49" xfId="4" applyNumberFormat="1" applyFont="1" applyFill="1" applyBorder="1" applyAlignment="1">
      <alignment vertical="center"/>
    </xf>
    <xf numFmtId="0" fontId="14" fillId="4" borderId="50" xfId="4" applyFont="1" applyFill="1" applyBorder="1" applyAlignment="1">
      <alignment vertical="center"/>
    </xf>
    <xf numFmtId="0" fontId="14" fillId="4" borderId="48" xfId="4" applyFont="1" applyFill="1" applyBorder="1" applyAlignment="1">
      <alignment vertical="center"/>
    </xf>
    <xf numFmtId="0" fontId="14" fillId="4" borderId="51" xfId="4" applyFont="1" applyFill="1" applyBorder="1" applyAlignment="1">
      <alignment vertical="center"/>
    </xf>
    <xf numFmtId="0" fontId="14" fillId="4" borderId="53" xfId="4" applyFont="1" applyFill="1" applyBorder="1" applyAlignment="1">
      <alignment vertical="center"/>
    </xf>
    <xf numFmtId="0" fontId="14" fillId="4" borderId="54" xfId="4" applyFont="1" applyFill="1" applyBorder="1" applyAlignment="1">
      <alignment vertical="center"/>
    </xf>
    <xf numFmtId="49" fontId="14" fillId="4" borderId="42" xfId="4" applyNumberFormat="1" applyFont="1" applyFill="1" applyBorder="1" applyAlignment="1">
      <alignment vertical="center"/>
    </xf>
    <xf numFmtId="49" fontId="14" fillId="4" borderId="43" xfId="4" applyNumberFormat="1" applyFont="1" applyFill="1" applyBorder="1" applyAlignment="1">
      <alignment vertical="center"/>
    </xf>
    <xf numFmtId="49" fontId="14" fillId="4" borderId="44" xfId="4" applyNumberFormat="1" applyFont="1" applyFill="1" applyBorder="1" applyAlignment="1">
      <alignment vertical="center"/>
    </xf>
    <xf numFmtId="0" fontId="14" fillId="9" borderId="45" xfId="4" applyFont="1" applyFill="1" applyBorder="1" applyAlignment="1">
      <alignment horizontal="center" vertical="center" wrapText="1"/>
    </xf>
    <xf numFmtId="0" fontId="14" fillId="9" borderId="92" xfId="4" applyFont="1" applyFill="1" applyBorder="1" applyAlignment="1">
      <alignment horizontal="center" vertical="center" wrapText="1"/>
    </xf>
    <xf numFmtId="10" fontId="14" fillId="4" borderId="87" xfId="4" applyNumberFormat="1" applyFont="1" applyFill="1" applyBorder="1" applyAlignment="1">
      <alignment horizontal="center" vertical="center"/>
    </xf>
    <xf numFmtId="0" fontId="14" fillId="4" borderId="50" xfId="4" applyFont="1" applyFill="1" applyBorder="1" applyAlignment="1">
      <alignment horizontal="center" vertical="center"/>
    </xf>
    <xf numFmtId="9" fontId="8" fillId="4" borderId="50" xfId="9" applyFont="1" applyFill="1" applyBorder="1" applyAlignment="1">
      <alignment horizontal="center" vertical="center"/>
    </xf>
    <xf numFmtId="0" fontId="8" fillId="4" borderId="50" xfId="4" applyFill="1" applyBorder="1" applyAlignment="1">
      <alignment horizontal="center" vertical="center"/>
    </xf>
    <xf numFmtId="1" fontId="8" fillId="4" borderId="86" xfId="9" applyNumberFormat="1" applyFont="1" applyFill="1" applyBorder="1" applyAlignment="1">
      <alignment horizontal="center" vertical="center"/>
    </xf>
    <xf numFmtId="0" fontId="14" fillId="2" borderId="39" xfId="4" applyFont="1" applyFill="1" applyBorder="1" applyAlignment="1">
      <alignment horizontal="center" vertical="center" wrapText="1"/>
    </xf>
    <xf numFmtId="0" fontId="14" fillId="2" borderId="34" xfId="4" applyFont="1" applyFill="1" applyBorder="1" applyAlignment="1">
      <alignment horizontal="center" vertical="center" wrapText="1"/>
    </xf>
    <xf numFmtId="10" fontId="14" fillId="4" borderId="16" xfId="4" applyNumberFormat="1" applyFont="1" applyFill="1" applyBorder="1" applyAlignment="1">
      <alignment horizontal="center" vertical="center"/>
    </xf>
    <xf numFmtId="10" fontId="14" fillId="4" borderId="19" xfId="4" applyNumberFormat="1" applyFont="1" applyFill="1" applyBorder="1" applyAlignment="1">
      <alignment horizontal="center" vertical="center"/>
    </xf>
    <xf numFmtId="2" fontId="14" fillId="4" borderId="19" xfId="4" applyNumberFormat="1" applyFont="1" applyFill="1" applyBorder="1" applyAlignment="1">
      <alignment horizontal="center" vertical="center"/>
    </xf>
    <xf numFmtId="0" fontId="14" fillId="4" borderId="28" xfId="4" applyFont="1" applyFill="1" applyBorder="1" applyAlignment="1">
      <alignment vertical="center"/>
    </xf>
    <xf numFmtId="0" fontId="14" fillId="4" borderId="19" xfId="4" applyFont="1" applyFill="1" applyBorder="1" applyAlignment="1">
      <alignment horizontal="center" vertical="center"/>
    </xf>
    <xf numFmtId="0" fontId="14" fillId="4" borderId="31" xfId="4" applyFont="1" applyFill="1" applyBorder="1" applyAlignment="1">
      <alignment vertical="center"/>
    </xf>
    <xf numFmtId="0" fontId="14" fillId="4" borderId="47" xfId="4" applyFont="1" applyFill="1" applyBorder="1" applyAlignment="1">
      <alignment vertical="center"/>
    </xf>
    <xf numFmtId="0" fontId="14" fillId="4" borderId="88" xfId="4" applyFont="1" applyFill="1" applyBorder="1" applyAlignment="1">
      <alignment vertical="center"/>
    </xf>
    <xf numFmtId="0" fontId="14" fillId="4" borderId="89" xfId="4" applyFont="1" applyFill="1" applyBorder="1" applyAlignment="1">
      <alignment vertical="center"/>
    </xf>
    <xf numFmtId="0" fontId="14" fillId="4" borderId="90" xfId="4" applyFont="1" applyFill="1" applyBorder="1" applyAlignment="1">
      <alignment vertical="center"/>
    </xf>
    <xf numFmtId="4" fontId="14" fillId="2" borderId="24" xfId="8" applyNumberFormat="1" applyFont="1" applyFill="1" applyBorder="1" applyAlignment="1">
      <alignment vertical="center"/>
    </xf>
    <xf numFmtId="0" fontId="14" fillId="7" borderId="39" xfId="4" applyFont="1" applyFill="1" applyBorder="1" applyAlignment="1">
      <alignment horizontal="center" vertical="center" wrapText="1"/>
    </xf>
    <xf numFmtId="0" fontId="14" fillId="7" borderId="34" xfId="4" applyFont="1" applyFill="1" applyBorder="1" applyAlignment="1">
      <alignment horizontal="center" vertical="center" wrapText="1"/>
    </xf>
    <xf numFmtId="2" fontId="14" fillId="4" borderId="93" xfId="4" applyNumberFormat="1" applyFont="1" applyFill="1" applyBorder="1" applyAlignment="1">
      <alignment horizontal="center" vertical="center"/>
    </xf>
    <xf numFmtId="0" fontId="16" fillId="0" borderId="83" xfId="0" applyFont="1" applyBorder="1"/>
    <xf numFmtId="0" fontId="8" fillId="4" borderId="83" xfId="4" applyFill="1" applyBorder="1" applyAlignment="1">
      <alignment vertical="center"/>
    </xf>
    <xf numFmtId="0" fontId="41" fillId="6" borderId="21" xfId="0" applyFont="1" applyFill="1" applyBorder="1" applyAlignment="1">
      <alignment horizontal="center" vertical="center" wrapText="1"/>
    </xf>
    <xf numFmtId="0" fontId="41" fillId="6" borderId="0" xfId="0" applyFont="1" applyFill="1" applyBorder="1" applyAlignment="1">
      <alignment horizontal="center" vertical="center" wrapText="1"/>
    </xf>
    <xf numFmtId="0" fontId="42" fillId="0" borderId="0" xfId="0" applyFont="1" applyBorder="1"/>
    <xf numFmtId="0" fontId="42" fillId="0" borderId="0" xfId="0" applyFont="1" applyBorder="1" applyAlignment="1">
      <alignment horizontal="center"/>
    </xf>
    <xf numFmtId="0" fontId="43" fillId="0" borderId="0" xfId="0" applyFont="1" applyBorder="1"/>
    <xf numFmtId="166" fontId="33" fillId="6" borderId="0" xfId="0" applyNumberFormat="1" applyFont="1" applyFill="1" applyBorder="1" applyAlignment="1">
      <alignment horizontal="center" vertical="center" wrapText="1"/>
    </xf>
    <xf numFmtId="166" fontId="9" fillId="6" borderId="0" xfId="0" applyNumberFormat="1" applyFont="1" applyFill="1" applyBorder="1" applyAlignment="1">
      <alignment horizontal="center" vertical="center"/>
    </xf>
    <xf numFmtId="166" fontId="33" fillId="6" borderId="0" xfId="0" applyNumberFormat="1" applyFont="1" applyFill="1" applyBorder="1" applyAlignment="1">
      <alignment horizontal="center" vertical="center"/>
    </xf>
    <xf numFmtId="9" fontId="9" fillId="0" borderId="66" xfId="3" applyFont="1" applyFill="1" applyBorder="1" applyAlignment="1">
      <alignment vertical="center"/>
    </xf>
    <xf numFmtId="167" fontId="9" fillId="6" borderId="67" xfId="0" applyNumberFormat="1" applyFont="1" applyFill="1" applyBorder="1" applyAlignment="1">
      <alignment horizontal="center" vertical="center"/>
    </xf>
    <xf numFmtId="167" fontId="9" fillId="0" borderId="69" xfId="0" applyNumberFormat="1" applyFont="1" applyFill="1" applyBorder="1" applyAlignment="1">
      <alignment vertical="center"/>
    </xf>
    <xf numFmtId="167" fontId="9" fillId="6" borderId="70" xfId="0" applyNumberFormat="1" applyFont="1" applyFill="1" applyBorder="1" applyAlignment="1">
      <alignment horizontal="center" vertical="center"/>
    </xf>
    <xf numFmtId="167" fontId="9" fillId="6" borderId="69" xfId="0" applyNumberFormat="1" applyFont="1" applyFill="1" applyBorder="1" applyAlignment="1">
      <alignment vertical="center"/>
    </xf>
    <xf numFmtId="43" fontId="9" fillId="0" borderId="66" xfId="17" applyFont="1" applyFill="1" applyBorder="1" applyAlignment="1">
      <alignment horizontal="center" vertical="center"/>
    </xf>
    <xf numFmtId="176" fontId="9" fillId="0" borderId="66" xfId="17" applyNumberFormat="1" applyFont="1" applyFill="1" applyBorder="1" applyAlignment="1">
      <alignment horizontal="center" vertical="center"/>
    </xf>
    <xf numFmtId="176" fontId="9" fillId="0" borderId="69" xfId="17" applyNumberFormat="1" applyFont="1" applyFill="1" applyBorder="1" applyAlignment="1">
      <alignment horizontal="center" vertical="center"/>
    </xf>
    <xf numFmtId="176" fontId="9" fillId="6" borderId="69" xfId="17" applyNumberFormat="1" applyFont="1" applyFill="1" applyBorder="1" applyAlignment="1">
      <alignment horizontal="center" vertical="center"/>
    </xf>
    <xf numFmtId="166" fontId="33" fillId="11" borderId="79" xfId="0" applyNumberFormat="1" applyFont="1" applyFill="1" applyBorder="1" applyAlignment="1">
      <alignment horizontal="center" vertical="center"/>
    </xf>
    <xf numFmtId="166" fontId="33" fillId="6" borderId="33" xfId="0" applyNumberFormat="1" applyFont="1" applyFill="1" applyBorder="1" applyAlignment="1">
      <alignment horizontal="center" vertical="center"/>
    </xf>
    <xf numFmtId="167" fontId="9" fillId="6" borderId="74" xfId="0" applyNumberFormat="1" applyFont="1" applyFill="1" applyBorder="1" applyAlignment="1">
      <alignment vertical="center"/>
    </xf>
    <xf numFmtId="176" fontId="9" fillId="6" borderId="74" xfId="17" applyNumberFormat="1" applyFont="1" applyFill="1" applyBorder="1" applyAlignment="1">
      <alignment horizontal="center" vertical="center"/>
    </xf>
    <xf numFmtId="166" fontId="33" fillId="6" borderId="31" xfId="0" applyNumberFormat="1" applyFont="1" applyFill="1" applyBorder="1" applyAlignment="1">
      <alignment horizontal="center" vertical="center"/>
    </xf>
    <xf numFmtId="166" fontId="33" fillId="6" borderId="32" xfId="0" applyNumberFormat="1" applyFont="1" applyFill="1" applyBorder="1" applyAlignment="1">
      <alignment horizontal="center" vertical="center"/>
    </xf>
    <xf numFmtId="166" fontId="33" fillId="12" borderId="33" xfId="0" applyNumberFormat="1" applyFont="1" applyFill="1" applyBorder="1" applyAlignment="1">
      <alignment horizontal="center" vertical="center"/>
    </xf>
    <xf numFmtId="0" fontId="2" fillId="9" borderId="81" xfId="0" applyFont="1" applyFill="1" applyBorder="1" applyAlignment="1">
      <alignment horizontal="center"/>
    </xf>
    <xf numFmtId="164" fontId="2" fillId="2" borderId="81" xfId="1" applyNumberFormat="1" applyFont="1" applyFill="1" applyBorder="1" applyAlignment="1">
      <alignment horizontal="center"/>
    </xf>
    <xf numFmtId="164" fontId="2" fillId="7" borderId="81" xfId="1" applyNumberFormat="1" applyFont="1" applyFill="1" applyBorder="1" applyAlignment="1">
      <alignment horizontal="center"/>
    </xf>
    <xf numFmtId="164" fontId="2" fillId="8" borderId="85" xfId="1" applyNumberFormat="1" applyFont="1" applyFill="1" applyBorder="1" applyAlignment="1">
      <alignment horizontal="center"/>
    </xf>
    <xf numFmtId="0" fontId="0" fillId="2" borderId="19" xfId="0" applyFill="1" applyBorder="1"/>
    <xf numFmtId="164" fontId="0" fillId="0" borderId="20" xfId="1" applyNumberFormat="1" applyFont="1" applyBorder="1"/>
    <xf numFmtId="0" fontId="0" fillId="2" borderId="19" xfId="0" applyFill="1" applyBorder="1" applyAlignment="1">
      <alignment horizontal="right" vertical="center"/>
    </xf>
    <xf numFmtId="164" fontId="2" fillId="2" borderId="23" xfId="1" applyNumberFormat="1" applyFont="1" applyFill="1" applyBorder="1"/>
    <xf numFmtId="164" fontId="2" fillId="7" borderId="23" xfId="1" applyNumberFormat="1" applyFont="1" applyFill="1" applyBorder="1"/>
    <xf numFmtId="164" fontId="2" fillId="8" borderId="24" xfId="1" applyNumberFormat="1" applyFont="1" applyFill="1" applyBorder="1"/>
    <xf numFmtId="167" fontId="3" fillId="0" borderId="11" xfId="0" applyNumberFormat="1" applyFont="1" applyBorder="1" applyAlignment="1">
      <alignment horizontal="center" vertical="center" wrapText="1"/>
    </xf>
    <xf numFmtId="167" fontId="0" fillId="0" borderId="0" xfId="0" applyNumberFormat="1"/>
    <xf numFmtId="167" fontId="3" fillId="0" borderId="0" xfId="0" applyNumberFormat="1" applyFont="1" applyAlignment="1">
      <alignment vertical="center"/>
    </xf>
    <xf numFmtId="167" fontId="4" fillId="0" borderId="6" xfId="2" applyNumberFormat="1" applyFont="1" applyFill="1" applyBorder="1" applyAlignment="1">
      <alignment horizontal="center" vertical="center" wrapText="1"/>
    </xf>
    <xf numFmtId="167" fontId="4" fillId="3" borderId="18" xfId="2" applyNumberFormat="1" applyFont="1" applyFill="1" applyBorder="1" applyAlignment="1">
      <alignment vertical="center" wrapText="1"/>
    </xf>
    <xf numFmtId="167" fontId="4" fillId="0" borderId="20" xfId="0" applyNumberFormat="1" applyFont="1" applyBorder="1" applyAlignment="1">
      <alignment vertical="center"/>
    </xf>
    <xf numFmtId="167" fontId="4" fillId="0" borderId="5" xfId="2" applyNumberFormat="1" applyFont="1" applyFill="1" applyBorder="1" applyAlignment="1">
      <alignment horizontal="center" vertical="center" wrapText="1"/>
    </xf>
    <xf numFmtId="167" fontId="4" fillId="0" borderId="1" xfId="3" applyNumberFormat="1" applyFont="1" applyFill="1" applyBorder="1" applyAlignment="1">
      <alignment vertical="center"/>
    </xf>
    <xf numFmtId="167" fontId="4" fillId="0" borderId="1" xfId="0" applyNumberFormat="1" applyFont="1" applyBorder="1" applyAlignment="1">
      <alignment horizontal="center" vertical="center"/>
    </xf>
    <xf numFmtId="0" fontId="4" fillId="0" borderId="97" xfId="0" applyFont="1" applyBorder="1" applyAlignment="1">
      <alignment vertical="center"/>
    </xf>
    <xf numFmtId="0" fontId="4" fillId="0" borderId="98" xfId="0" applyFont="1" applyBorder="1" applyAlignment="1">
      <alignment vertical="center"/>
    </xf>
    <xf numFmtId="0" fontId="4" fillId="0" borderId="99" xfId="0" applyFont="1" applyBorder="1" applyAlignment="1">
      <alignment vertical="center"/>
    </xf>
    <xf numFmtId="0" fontId="4" fillId="0" borderId="31" xfId="0" applyFont="1" applyBorder="1" applyAlignment="1">
      <alignment vertical="center"/>
    </xf>
    <xf numFmtId="0" fontId="4" fillId="0" borderId="32" xfId="0" applyFont="1" applyBorder="1" applyAlignment="1">
      <alignment vertical="center"/>
    </xf>
    <xf numFmtId="0" fontId="4" fillId="0" borderId="33"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100" xfId="0" applyFont="1" applyBorder="1" applyAlignment="1">
      <alignment horizontal="center" vertical="center" wrapText="1"/>
    </xf>
    <xf numFmtId="0" fontId="3" fillId="0" borderId="101" xfId="0" applyFont="1" applyBorder="1" applyAlignment="1">
      <alignment horizontal="center" vertical="center" wrapText="1"/>
    </xf>
    <xf numFmtId="0" fontId="3" fillId="0" borderId="15" xfId="0" applyFont="1" applyBorder="1" applyAlignment="1">
      <alignment horizontal="center" vertical="center" wrapText="1"/>
    </xf>
    <xf numFmtId="0" fontId="4" fillId="0" borderId="45" xfId="0" applyFont="1" applyBorder="1" applyAlignment="1">
      <alignment vertical="center"/>
    </xf>
    <xf numFmtId="165" fontId="4" fillId="0" borderId="4" xfId="2" applyNumberFormat="1" applyFont="1" applyFill="1" applyBorder="1" applyAlignment="1">
      <alignment horizontal="center" vertical="center" wrapText="1"/>
    </xf>
    <xf numFmtId="165" fontId="3" fillId="0" borderId="102" xfId="2" applyNumberFormat="1" applyFont="1" applyFill="1" applyBorder="1" applyAlignment="1">
      <alignment horizontal="center" vertical="center" wrapText="1"/>
    </xf>
    <xf numFmtId="167" fontId="3" fillId="0" borderId="103" xfId="2" applyNumberFormat="1" applyFont="1" applyFill="1" applyBorder="1" applyAlignment="1">
      <alignment horizontal="right" vertical="center" wrapText="1"/>
    </xf>
    <xf numFmtId="167" fontId="4" fillId="0" borderId="104" xfId="2" applyNumberFormat="1" applyFont="1" applyFill="1" applyBorder="1" applyAlignment="1">
      <alignment horizontal="right" vertical="center" wrapText="1"/>
    </xf>
    <xf numFmtId="0" fontId="3" fillId="0" borderId="105" xfId="0" applyFont="1" applyBorder="1" applyAlignment="1">
      <alignment horizontal="center" vertical="center" wrapText="1"/>
    </xf>
    <xf numFmtId="167" fontId="0" fillId="0" borderId="0" xfId="0" applyNumberFormat="1" applyBorder="1"/>
    <xf numFmtId="167" fontId="0" fillId="0" borderId="83" xfId="0" applyNumberFormat="1" applyBorder="1"/>
    <xf numFmtId="166" fontId="3" fillId="0" borderId="103" xfId="2" applyNumberFormat="1" applyFont="1" applyFill="1" applyBorder="1" applyAlignment="1">
      <alignment horizontal="right" vertical="center" wrapText="1"/>
    </xf>
    <xf numFmtId="0" fontId="3" fillId="0" borderId="104" xfId="0" applyFont="1" applyBorder="1" applyAlignment="1">
      <alignment horizontal="center" vertical="center" wrapText="1"/>
    </xf>
    <xf numFmtId="165" fontId="3" fillId="0" borderId="105" xfId="2" applyNumberFormat="1"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167" fontId="4" fillId="0" borderId="9" xfId="2" applyNumberFormat="1" applyFont="1" applyFill="1" applyBorder="1" applyAlignment="1">
      <alignment horizontal="right" vertical="center" wrapText="1"/>
    </xf>
    <xf numFmtId="167" fontId="3" fillId="0" borderId="104" xfId="2" applyNumberFormat="1" applyFont="1" applyFill="1" applyBorder="1" applyAlignment="1">
      <alignment horizontal="right" vertical="center" wrapText="1"/>
    </xf>
    <xf numFmtId="0" fontId="4" fillId="3" borderId="16" xfId="0" applyFont="1" applyFill="1" applyBorder="1" applyAlignment="1">
      <alignment vertical="center" wrapText="1"/>
    </xf>
    <xf numFmtId="0" fontId="4" fillId="3" borderId="17" xfId="0" applyFont="1" applyFill="1" applyBorder="1" applyAlignment="1">
      <alignment vertical="center" wrapText="1"/>
    </xf>
    <xf numFmtId="0" fontId="4" fillId="7" borderId="17" xfId="0" applyFont="1" applyFill="1" applyBorder="1" applyAlignment="1">
      <alignment vertical="center" wrapText="1"/>
    </xf>
    <xf numFmtId="167" fontId="4" fillId="7" borderId="18" xfId="2" applyNumberFormat="1" applyFont="1" applyFill="1" applyBorder="1" applyAlignment="1">
      <alignment vertical="center" wrapText="1"/>
    </xf>
    <xf numFmtId="0" fontId="4" fillId="0" borderId="19" xfId="0" applyFont="1" applyBorder="1" applyAlignment="1">
      <alignment vertical="center"/>
    </xf>
    <xf numFmtId="0" fontId="4" fillId="0" borderId="1" xfId="0" applyFont="1" applyBorder="1" applyAlignment="1">
      <alignment vertical="center"/>
    </xf>
    <xf numFmtId="0" fontId="5" fillId="3" borderId="22" xfId="0" applyFont="1" applyFill="1" applyBorder="1" applyAlignment="1">
      <alignment vertical="center"/>
    </xf>
    <xf numFmtId="0" fontId="5" fillId="3" borderId="23" xfId="0" applyFont="1" applyFill="1" applyBorder="1" applyAlignment="1">
      <alignment vertical="center"/>
    </xf>
    <xf numFmtId="167" fontId="4" fillId="7" borderId="24" xfId="0" applyNumberFormat="1" applyFont="1" applyFill="1" applyBorder="1" applyAlignment="1">
      <alignment vertical="center"/>
    </xf>
    <xf numFmtId="167" fontId="5" fillId="4" borderId="20" xfId="0" applyNumberFormat="1" applyFont="1" applyFill="1" applyBorder="1" applyAlignment="1">
      <alignment vertical="center"/>
    </xf>
    <xf numFmtId="0" fontId="4" fillId="3" borderId="87" xfId="0" applyFont="1" applyFill="1" applyBorder="1" applyAlignment="1">
      <alignment vertical="center" wrapText="1"/>
    </xf>
    <xf numFmtId="0" fontId="4" fillId="0" borderId="50" xfId="0" applyFont="1" applyBorder="1" applyAlignment="1">
      <alignment vertical="center"/>
    </xf>
    <xf numFmtId="0" fontId="5" fillId="3" borderId="86" xfId="0" applyFont="1" applyFill="1" applyBorder="1" applyAlignment="1">
      <alignment vertical="center"/>
    </xf>
    <xf numFmtId="0" fontId="3" fillId="0" borderId="0" xfId="0" applyFont="1" applyBorder="1" applyAlignment="1">
      <alignment vertical="center"/>
    </xf>
    <xf numFmtId="0" fontId="4" fillId="7" borderId="16" xfId="0" applyFont="1" applyFill="1" applyBorder="1" applyAlignment="1">
      <alignment vertical="center" wrapText="1"/>
    </xf>
    <xf numFmtId="167" fontId="3" fillId="0" borderId="0" xfId="0" applyNumberFormat="1" applyFont="1" applyBorder="1" applyAlignment="1">
      <alignment vertical="center"/>
    </xf>
    <xf numFmtId="9" fontId="3" fillId="0" borderId="0" xfId="3" applyFont="1" applyAlignment="1">
      <alignment vertical="center"/>
    </xf>
    <xf numFmtId="167" fontId="5" fillId="2" borderId="24" xfId="0" applyNumberFormat="1" applyFont="1" applyFill="1" applyBorder="1" applyAlignment="1">
      <alignment vertical="center"/>
    </xf>
    <xf numFmtId="0" fontId="3" fillId="0" borderId="31" xfId="0" applyFont="1" applyBorder="1" applyAlignment="1">
      <alignment vertical="center"/>
    </xf>
    <xf numFmtId="0" fontId="3" fillId="0" borderId="32" xfId="0" applyFont="1" applyBorder="1" applyAlignment="1">
      <alignment vertical="center"/>
    </xf>
    <xf numFmtId="0" fontId="0" fillId="0" borderId="1" xfId="0" applyBorder="1" applyAlignment="1">
      <alignment horizontal="left" wrapText="1"/>
    </xf>
    <xf numFmtId="44" fontId="0" fillId="0" borderId="1" xfId="1" applyFont="1" applyBorder="1" applyAlignment="1">
      <alignment horizontal="left" wrapText="1"/>
    </xf>
    <xf numFmtId="0" fontId="2" fillId="9" borderId="81" xfId="0" applyFont="1" applyFill="1" applyBorder="1" applyAlignment="1">
      <alignment horizontal="center"/>
    </xf>
    <xf numFmtId="0" fontId="3" fillId="0" borderId="0" xfId="0" applyFont="1" applyAlignment="1">
      <alignment horizontal="center" vertical="center"/>
    </xf>
    <xf numFmtId="167" fontId="4" fillId="0" borderId="1" xfId="2" applyNumberFormat="1" applyFont="1" applyFill="1" applyBorder="1" applyAlignment="1">
      <alignment horizontal="center" vertical="center" wrapText="1"/>
    </xf>
    <xf numFmtId="0" fontId="0" fillId="0" borderId="1" xfId="0" applyBorder="1"/>
    <xf numFmtId="167" fontId="0" fillId="0" borderId="1" xfId="0" applyNumberFormat="1" applyBorder="1"/>
    <xf numFmtId="164" fontId="0" fillId="0" borderId="1" xfId="0" applyNumberFormat="1" applyBorder="1"/>
    <xf numFmtId="164" fontId="2" fillId="8" borderId="1" xfId="1" applyNumberFormat="1" applyFont="1" applyFill="1" applyBorder="1" applyAlignment="1">
      <alignment horizontal="center" wrapText="1"/>
    </xf>
    <xf numFmtId="9" fontId="8" fillId="7" borderId="50" xfId="9" applyFont="1" applyFill="1" applyBorder="1" applyAlignment="1">
      <alignment horizontal="center" vertical="center"/>
    </xf>
    <xf numFmtId="43" fontId="14" fillId="7" borderId="1" xfId="17" applyFont="1" applyFill="1" applyBorder="1" applyAlignment="1">
      <alignment horizontal="center" vertical="center"/>
    </xf>
    <xf numFmtId="178" fontId="8" fillId="4" borderId="1" xfId="5" applyNumberFormat="1" applyFont="1" applyFill="1" applyBorder="1" applyAlignment="1">
      <alignment horizontal="center" vertical="center"/>
    </xf>
    <xf numFmtId="0" fontId="14" fillId="2" borderId="40" xfId="4" applyFont="1" applyFill="1" applyBorder="1" applyAlignment="1">
      <alignment horizontal="center" vertical="center" wrapText="1"/>
    </xf>
    <xf numFmtId="10" fontId="14" fillId="4" borderId="106" xfId="4" applyNumberFormat="1" applyFont="1" applyFill="1" applyBorder="1" applyAlignment="1">
      <alignment horizontal="center" vertical="center"/>
    </xf>
    <xf numFmtId="10" fontId="14" fillId="4" borderId="51" xfId="4" applyNumberFormat="1" applyFont="1" applyFill="1" applyBorder="1" applyAlignment="1">
      <alignment horizontal="center" vertical="center"/>
    </xf>
    <xf numFmtId="2" fontId="14" fillId="4" borderId="90" xfId="4" applyNumberFormat="1" applyFont="1" applyFill="1" applyBorder="1" applyAlignment="1">
      <alignment horizontal="center" vertical="center"/>
    </xf>
    <xf numFmtId="0" fontId="14" fillId="7" borderId="40" xfId="4" applyFont="1" applyFill="1" applyBorder="1" applyAlignment="1">
      <alignment horizontal="center" vertical="center" wrapText="1"/>
    </xf>
    <xf numFmtId="2" fontId="14" fillId="4" borderId="107" xfId="4" applyNumberFormat="1" applyFont="1" applyFill="1" applyBorder="1" applyAlignment="1">
      <alignment horizontal="center" vertical="center"/>
    </xf>
    <xf numFmtId="4" fontId="8" fillId="0" borderId="32" xfId="4" applyNumberFormat="1" applyBorder="1" applyAlignment="1">
      <alignment vertical="center"/>
    </xf>
    <xf numFmtId="9" fontId="8" fillId="0" borderId="50" xfId="9" applyFont="1" applyFill="1" applyBorder="1" applyAlignment="1">
      <alignment horizontal="center" vertical="center"/>
    </xf>
    <xf numFmtId="0" fontId="0" fillId="0" borderId="1" xfId="0" applyBorder="1" applyAlignment="1">
      <alignment horizontal="left" wrapText="1"/>
    </xf>
    <xf numFmtId="44" fontId="0" fillId="0" borderId="1" xfId="1" applyFont="1" applyBorder="1" applyAlignment="1">
      <alignment horizontal="left" wrapText="1"/>
    </xf>
    <xf numFmtId="0" fontId="0" fillId="0" borderId="1" xfId="0" applyBorder="1" applyAlignment="1">
      <alignment horizontal="left" wrapText="1"/>
    </xf>
    <xf numFmtId="0" fontId="40" fillId="0" borderId="1" xfId="0" applyFont="1" applyBorder="1" applyAlignment="1">
      <alignment horizontal="center" vertical="center" wrapText="1"/>
    </xf>
    <xf numFmtId="0" fontId="40" fillId="0" borderId="1" xfId="0" applyFont="1" applyBorder="1" applyAlignment="1">
      <alignment horizontal="center" vertical="center"/>
    </xf>
    <xf numFmtId="0" fontId="2" fillId="2" borderId="1" xfId="0" applyFont="1" applyFill="1" applyBorder="1" applyAlignment="1">
      <alignment horizontal="center"/>
    </xf>
    <xf numFmtId="0" fontId="3" fillId="0" borderId="0" xfId="0" applyFont="1" applyAlignment="1">
      <alignment horizontal="center" vertical="center"/>
    </xf>
    <xf numFmtId="0" fontId="0" fillId="2" borderId="1" xfId="0" applyFill="1" applyBorder="1" applyAlignment="1">
      <alignment horizontal="left" vertical="center"/>
    </xf>
    <xf numFmtId="0" fontId="0" fillId="2" borderId="1" xfId="0" applyFill="1" applyBorder="1" applyAlignment="1">
      <alignment horizontal="right" vertical="center"/>
    </xf>
    <xf numFmtId="44" fontId="0" fillId="0" borderId="1" xfId="1" applyFont="1" applyBorder="1" applyAlignment="1">
      <alignment horizontal="center" vertical="center"/>
    </xf>
    <xf numFmtId="0" fontId="2" fillId="2" borderId="1" xfId="0" applyFont="1" applyFill="1" applyBorder="1" applyAlignment="1">
      <alignment horizontal="right"/>
    </xf>
    <xf numFmtId="0" fontId="2" fillId="0" borderId="1" xfId="0" applyFont="1" applyBorder="1" applyAlignment="1">
      <alignment horizontal="center" vertical="center" wrapText="1"/>
    </xf>
    <xf numFmtId="0" fontId="2" fillId="7" borderId="1" xfId="0" applyFont="1" applyFill="1" applyBorder="1" applyAlignment="1">
      <alignment horizontal="center"/>
    </xf>
    <xf numFmtId="0" fontId="0" fillId="7" borderId="1" xfId="0" applyFill="1" applyBorder="1" applyAlignment="1">
      <alignment horizontal="right" vertical="center"/>
    </xf>
    <xf numFmtId="0" fontId="0" fillId="7" borderId="1" xfId="0" applyFill="1" applyBorder="1" applyAlignment="1">
      <alignment horizontal="left" vertical="center"/>
    </xf>
    <xf numFmtId="0" fontId="2" fillId="7" borderId="1" xfId="0" applyFont="1" applyFill="1" applyBorder="1" applyAlignment="1">
      <alignment horizontal="right"/>
    </xf>
    <xf numFmtId="0" fontId="40" fillId="0" borderId="31" xfId="0" applyFont="1" applyBorder="1" applyAlignment="1">
      <alignment horizontal="center" vertical="center"/>
    </xf>
    <xf numFmtId="0" fontId="40" fillId="0" borderId="32" xfId="0" applyFont="1" applyBorder="1" applyAlignment="1">
      <alignment horizontal="center" vertical="center"/>
    </xf>
    <xf numFmtId="0" fontId="40" fillId="0" borderId="33" xfId="0" applyFont="1" applyBorder="1" applyAlignment="1">
      <alignment horizontal="center" vertical="center"/>
    </xf>
    <xf numFmtId="0" fontId="2" fillId="9" borderId="93" xfId="0" applyFont="1" applyFill="1" applyBorder="1" applyAlignment="1">
      <alignment horizontal="center"/>
    </xf>
    <xf numFmtId="0" fontId="2" fillId="9" borderId="81" xfId="0" applyFont="1" applyFill="1" applyBorder="1" applyAlignment="1">
      <alignment horizontal="center"/>
    </xf>
    <xf numFmtId="0" fontId="2" fillId="9" borderId="22" xfId="0" applyFont="1" applyFill="1" applyBorder="1" applyAlignment="1">
      <alignment horizontal="right"/>
    </xf>
    <xf numFmtId="0" fontId="2" fillId="9" borderId="23" xfId="0" applyFont="1" applyFill="1" applyBorder="1" applyAlignment="1">
      <alignment horizontal="right"/>
    </xf>
    <xf numFmtId="0" fontId="40" fillId="0" borderId="25" xfId="0" applyFont="1" applyBorder="1" applyAlignment="1">
      <alignment horizontal="center" vertical="center" wrapText="1"/>
    </xf>
    <xf numFmtId="0" fontId="40" fillId="0" borderId="26" xfId="0" applyFont="1" applyBorder="1" applyAlignment="1">
      <alignment horizontal="center" vertical="center" wrapText="1"/>
    </xf>
    <xf numFmtId="0" fontId="40" fillId="0" borderId="27" xfId="0" applyFont="1" applyBorder="1" applyAlignment="1">
      <alignment horizontal="center" vertical="center" wrapText="1"/>
    </xf>
    <xf numFmtId="0" fontId="40" fillId="0" borderId="21" xfId="0" applyFont="1" applyBorder="1" applyAlignment="1">
      <alignment horizontal="center" vertical="center" wrapText="1"/>
    </xf>
    <xf numFmtId="0" fontId="40" fillId="0" borderId="0" xfId="0" applyFont="1" applyBorder="1" applyAlignment="1">
      <alignment horizontal="center" vertical="center" wrapText="1"/>
    </xf>
    <xf numFmtId="0" fontId="40" fillId="0" borderId="83"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9" xfId="0" applyFont="1" applyBorder="1" applyAlignment="1">
      <alignment horizontal="center" vertical="center" wrapText="1"/>
    </xf>
    <xf numFmtId="0" fontId="40" fillId="0" borderId="30" xfId="0" applyFont="1" applyBorder="1" applyAlignment="1">
      <alignment horizontal="center" vertical="center" wrapText="1"/>
    </xf>
    <xf numFmtId="0" fontId="3" fillId="0" borderId="11" xfId="0" applyFont="1" applyBorder="1" applyAlignment="1">
      <alignment horizontal="left" vertical="center" wrapText="1"/>
    </xf>
    <xf numFmtId="0" fontId="4" fillId="9" borderId="25" xfId="0" applyFont="1" applyFill="1" applyBorder="1" applyAlignment="1">
      <alignment horizontal="center" vertical="center" wrapText="1"/>
    </xf>
    <xf numFmtId="0" fontId="4" fillId="9" borderId="26" xfId="0" applyFont="1" applyFill="1" applyBorder="1" applyAlignment="1">
      <alignment horizontal="center" vertical="center" wrapText="1"/>
    </xf>
    <xf numFmtId="0" fontId="4" fillId="9" borderId="27" xfId="0" applyFont="1" applyFill="1" applyBorder="1" applyAlignment="1">
      <alignment horizontal="center" vertical="center" wrapText="1"/>
    </xf>
    <xf numFmtId="0" fontId="4" fillId="9" borderId="28" xfId="0" applyFont="1" applyFill="1" applyBorder="1" applyAlignment="1">
      <alignment horizontal="center" vertical="center" wrapText="1"/>
    </xf>
    <xf numFmtId="0" fontId="4" fillId="9" borderId="29" xfId="0" applyFont="1" applyFill="1" applyBorder="1" applyAlignment="1">
      <alignment horizontal="center" vertical="center" wrapText="1"/>
    </xf>
    <xf numFmtId="0" fontId="4" fillId="9" borderId="30" xfId="0" applyFont="1" applyFill="1" applyBorder="1" applyAlignment="1">
      <alignment horizontal="center" vertical="center" wrapText="1"/>
    </xf>
    <xf numFmtId="0" fontId="4" fillId="0" borderId="5" xfId="0" applyFont="1" applyBorder="1" applyAlignment="1">
      <alignment horizontal="center" vertical="center" wrapText="1"/>
    </xf>
    <xf numFmtId="0" fontId="3" fillId="0" borderId="10" xfId="0" applyFont="1" applyBorder="1" applyAlignment="1">
      <alignment horizontal="left" vertical="center" wrapText="1"/>
    </xf>
    <xf numFmtId="0" fontId="4" fillId="0" borderId="31" xfId="0" applyFont="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7" borderId="31" xfId="0" applyFont="1" applyFill="1" applyBorder="1" applyAlignment="1">
      <alignment horizontal="center" vertical="center"/>
    </xf>
    <xf numFmtId="0" fontId="4" fillId="7" borderId="32" xfId="0" applyFont="1" applyFill="1" applyBorder="1" applyAlignment="1">
      <alignment horizontal="center" vertical="center"/>
    </xf>
    <xf numFmtId="0" fontId="4" fillId="7" borderId="33"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32" xfId="0" applyFont="1" applyFill="1" applyBorder="1" applyAlignment="1">
      <alignment horizontal="center" vertical="center"/>
    </xf>
    <xf numFmtId="0" fontId="4" fillId="2" borderId="33" xfId="0" applyFont="1" applyFill="1" applyBorder="1" applyAlignment="1">
      <alignment horizontal="center" vertical="center"/>
    </xf>
    <xf numFmtId="166" fontId="4" fillId="0" borderId="105" xfId="2" applyNumberFormat="1" applyFont="1" applyFill="1" applyBorder="1" applyAlignment="1">
      <alignment horizontal="right" vertical="center" wrapText="1"/>
    </xf>
    <xf numFmtId="166" fontId="4" fillId="0" borderId="11" xfId="2" applyNumberFormat="1" applyFont="1" applyFill="1" applyBorder="1" applyAlignment="1">
      <alignment horizontal="right" vertical="center" wrapText="1"/>
    </xf>
    <xf numFmtId="0" fontId="4" fillId="0" borderId="11" xfId="0" applyFont="1" applyBorder="1" applyAlignment="1">
      <alignment horizontal="left" vertical="center" wrapText="1"/>
    </xf>
    <xf numFmtId="166" fontId="4" fillId="0" borderId="11" xfId="2" applyNumberFormat="1" applyFont="1" applyFill="1" applyBorder="1" applyAlignment="1">
      <alignment vertical="center" wrapText="1"/>
    </xf>
    <xf numFmtId="166" fontId="4" fillId="0" borderId="7" xfId="2" applyNumberFormat="1" applyFont="1" applyFill="1" applyBorder="1" applyAlignment="1">
      <alignment horizontal="right" vertical="center" wrapText="1"/>
    </xf>
    <xf numFmtId="166" fontId="4" fillId="0" borderId="8" xfId="2" applyNumberFormat="1" applyFont="1" applyFill="1" applyBorder="1" applyAlignment="1">
      <alignment horizontal="right" vertical="center" wrapText="1"/>
    </xf>
    <xf numFmtId="49" fontId="8" fillId="4" borderId="55" xfId="4" applyNumberFormat="1" applyFill="1" applyBorder="1" applyAlignment="1">
      <alignment horizontal="center"/>
    </xf>
    <xf numFmtId="49" fontId="8" fillId="4" borderId="56" xfId="4" applyNumberFormat="1" applyFill="1" applyBorder="1" applyAlignment="1">
      <alignment horizontal="center"/>
    </xf>
    <xf numFmtId="49" fontId="8" fillId="4" borderId="29" xfId="4" applyNumberFormat="1" applyFill="1" applyBorder="1" applyAlignment="1">
      <alignment horizontal="center"/>
    </xf>
    <xf numFmtId="49" fontId="8" fillId="4" borderId="30" xfId="4" applyNumberFormat="1" applyFill="1" applyBorder="1" applyAlignment="1">
      <alignment horizontal="center"/>
    </xf>
    <xf numFmtId="49" fontId="14" fillId="9" borderId="34" xfId="4" applyNumberFormat="1" applyFont="1" applyFill="1" applyBorder="1" applyAlignment="1">
      <alignment horizontal="center" vertical="center" wrapText="1"/>
    </xf>
    <xf numFmtId="49" fontId="14" fillId="9" borderId="36" xfId="4" applyNumberFormat="1" applyFont="1" applyFill="1" applyBorder="1" applyAlignment="1">
      <alignment horizontal="center" vertical="center" wrapText="1"/>
    </xf>
    <xf numFmtId="0" fontId="14" fillId="9" borderId="35" xfId="4" applyFont="1" applyFill="1" applyBorder="1" applyAlignment="1">
      <alignment horizontal="center" vertical="center" wrapText="1"/>
    </xf>
    <xf numFmtId="0" fontId="14" fillId="9" borderId="37" xfId="4" applyFont="1" applyFill="1" applyBorder="1" applyAlignment="1">
      <alignment horizontal="center" vertical="center" wrapText="1"/>
    </xf>
    <xf numFmtId="0" fontId="21" fillId="7" borderId="16" xfId="4" applyFont="1" applyFill="1" applyBorder="1" applyAlignment="1">
      <alignment horizontal="center" vertical="center" wrapText="1"/>
    </xf>
    <xf numFmtId="0" fontId="21" fillId="7" borderId="106" xfId="4" applyFont="1" applyFill="1" applyBorder="1" applyAlignment="1">
      <alignment horizontal="center" vertical="center" wrapText="1"/>
    </xf>
    <xf numFmtId="0" fontId="21" fillId="7" borderId="17" xfId="4" applyFont="1" applyFill="1" applyBorder="1" applyAlignment="1">
      <alignment horizontal="center" vertical="center" wrapText="1"/>
    </xf>
    <xf numFmtId="0" fontId="21" fillId="7" borderId="18" xfId="4" applyFont="1" applyFill="1" applyBorder="1" applyAlignment="1">
      <alignment horizontal="center" vertical="center" wrapText="1"/>
    </xf>
    <xf numFmtId="0" fontId="21" fillId="9" borderId="25" xfId="4" applyFont="1" applyFill="1" applyBorder="1" applyAlignment="1">
      <alignment horizontal="center" vertical="center" wrapText="1"/>
    </xf>
    <xf numFmtId="0" fontId="21" fillId="9" borderId="26" xfId="4" applyFont="1" applyFill="1" applyBorder="1" applyAlignment="1">
      <alignment horizontal="center" vertical="center" wrapText="1"/>
    </xf>
    <xf numFmtId="0" fontId="21" fillId="9" borderId="27" xfId="4" applyFont="1" applyFill="1" applyBorder="1" applyAlignment="1">
      <alignment horizontal="center" vertical="center" wrapText="1"/>
    </xf>
    <xf numFmtId="0" fontId="21" fillId="9" borderId="28" xfId="4" applyFont="1" applyFill="1" applyBorder="1" applyAlignment="1">
      <alignment horizontal="center" vertical="center" wrapText="1"/>
    </xf>
    <xf numFmtId="0" fontId="21" fillId="9" borderId="29" xfId="4" applyFont="1" applyFill="1" applyBorder="1" applyAlignment="1">
      <alignment horizontal="center" vertical="center" wrapText="1"/>
    </xf>
    <xf numFmtId="0" fontId="21" fillId="9" borderId="30" xfId="4" applyFont="1" applyFill="1" applyBorder="1" applyAlignment="1">
      <alignment horizontal="center" vertical="center" wrapText="1"/>
    </xf>
    <xf numFmtId="0" fontId="21" fillId="9" borderId="31" xfId="4" applyFont="1" applyFill="1" applyBorder="1" applyAlignment="1">
      <alignment horizontal="center" vertical="center" wrapText="1"/>
    </xf>
    <xf numFmtId="0" fontId="21" fillId="9" borderId="32" xfId="4" applyFont="1" applyFill="1" applyBorder="1" applyAlignment="1">
      <alignment horizontal="center" vertical="center" wrapText="1"/>
    </xf>
    <xf numFmtId="0" fontId="21" fillId="9" borderId="33" xfId="4" applyFont="1" applyFill="1" applyBorder="1" applyAlignment="1">
      <alignment horizontal="center" vertical="center" wrapText="1"/>
    </xf>
    <xf numFmtId="0" fontId="14" fillId="4" borderId="45" xfId="4" applyFont="1" applyFill="1" applyBorder="1" applyAlignment="1">
      <alignment horizontal="right" vertical="center"/>
    </xf>
    <xf numFmtId="0" fontId="14" fillId="4" borderId="32" xfId="4" applyFont="1" applyFill="1" applyBorder="1" applyAlignment="1">
      <alignment horizontal="right" vertical="center"/>
    </xf>
    <xf numFmtId="0" fontId="14" fillId="4" borderId="33" xfId="4" applyFont="1" applyFill="1" applyBorder="1" applyAlignment="1">
      <alignment horizontal="right" vertical="center"/>
    </xf>
    <xf numFmtId="0" fontId="21" fillId="2" borderId="16" xfId="4" applyFont="1" applyFill="1" applyBorder="1" applyAlignment="1">
      <alignment horizontal="center" vertical="center" wrapText="1"/>
    </xf>
    <xf numFmtId="0" fontId="21" fillId="2" borderId="106" xfId="4" applyFont="1" applyFill="1" applyBorder="1" applyAlignment="1">
      <alignment horizontal="center" vertical="center" wrapText="1"/>
    </xf>
    <xf numFmtId="0" fontId="21" fillId="2" borderId="17" xfId="4" applyFont="1" applyFill="1" applyBorder="1" applyAlignment="1">
      <alignment horizontal="center" vertical="center" wrapText="1"/>
    </xf>
    <xf numFmtId="0" fontId="21" fillId="2" borderId="18" xfId="4" applyFont="1" applyFill="1" applyBorder="1" applyAlignment="1">
      <alignment horizontal="center" vertical="center" wrapText="1"/>
    </xf>
    <xf numFmtId="0" fontId="21" fillId="7" borderId="32" xfId="4" applyFont="1" applyFill="1" applyBorder="1" applyAlignment="1">
      <alignment horizontal="center" vertical="center" wrapText="1"/>
    </xf>
    <xf numFmtId="0" fontId="21" fillId="7" borderId="33" xfId="4" applyFont="1" applyFill="1" applyBorder="1" applyAlignment="1">
      <alignment horizontal="center" vertical="center" wrapText="1"/>
    </xf>
    <xf numFmtId="175" fontId="14" fillId="4" borderId="45" xfId="4" applyNumberFormat="1" applyFont="1" applyFill="1" applyBorder="1" applyAlignment="1">
      <alignment horizontal="right" vertical="center"/>
    </xf>
    <xf numFmtId="175" fontId="14" fillId="4" borderId="32" xfId="4" applyNumberFormat="1" applyFont="1" applyFill="1" applyBorder="1" applyAlignment="1">
      <alignment horizontal="right" vertical="center"/>
    </xf>
    <xf numFmtId="175" fontId="17" fillId="4" borderId="46" xfId="4" applyNumberFormat="1" applyFont="1" applyFill="1" applyBorder="1" applyAlignment="1">
      <alignment horizontal="right" vertical="center"/>
    </xf>
    <xf numFmtId="175" fontId="14" fillId="4" borderId="47" xfId="4" applyNumberFormat="1" applyFont="1" applyFill="1" applyBorder="1" applyAlignment="1">
      <alignment horizontal="center" vertical="center"/>
    </xf>
    <xf numFmtId="175" fontId="14" fillId="4" borderId="48" xfId="4" applyNumberFormat="1" applyFont="1" applyFill="1" applyBorder="1" applyAlignment="1">
      <alignment horizontal="center" vertical="center"/>
    </xf>
    <xf numFmtId="175" fontId="14" fillId="4" borderId="49" xfId="4" applyNumberFormat="1" applyFont="1" applyFill="1" applyBorder="1" applyAlignment="1">
      <alignment horizontal="center" vertical="center"/>
    </xf>
    <xf numFmtId="175" fontId="14" fillId="4" borderId="50" xfId="4" applyNumberFormat="1" applyFont="1" applyFill="1" applyBorder="1" applyAlignment="1">
      <alignment horizontal="right" vertical="center"/>
    </xf>
    <xf numFmtId="175" fontId="14" fillId="4" borderId="48" xfId="4" applyNumberFormat="1" applyFont="1" applyFill="1" applyBorder="1" applyAlignment="1">
      <alignment horizontal="right" vertical="center"/>
    </xf>
    <xf numFmtId="175" fontId="14" fillId="4" borderId="51" xfId="4" applyNumberFormat="1" applyFont="1" applyFill="1" applyBorder="1" applyAlignment="1">
      <alignment horizontal="right" vertical="center"/>
    </xf>
    <xf numFmtId="175" fontId="14" fillId="4" borderId="53" xfId="4" applyNumberFormat="1" applyFont="1" applyFill="1" applyBorder="1" applyAlignment="1">
      <alignment horizontal="right" vertical="center"/>
    </xf>
    <xf numFmtId="175" fontId="14" fillId="4" borderId="54" xfId="4" applyNumberFormat="1" applyFont="1" applyFill="1" applyBorder="1" applyAlignment="1">
      <alignment horizontal="right" vertical="center"/>
    </xf>
    <xf numFmtId="175" fontId="8" fillId="4" borderId="55" xfId="4" applyNumberFormat="1" applyFill="1" applyBorder="1" applyAlignment="1">
      <alignment horizontal="center"/>
    </xf>
    <xf numFmtId="175" fontId="8" fillId="4" borderId="56" xfId="4" applyNumberFormat="1" applyFill="1" applyBorder="1" applyAlignment="1">
      <alignment horizontal="center"/>
    </xf>
    <xf numFmtId="175" fontId="8" fillId="4" borderId="30" xfId="4" applyNumberFormat="1" applyFill="1" applyBorder="1" applyAlignment="1">
      <alignment horizontal="center"/>
    </xf>
    <xf numFmtId="175" fontId="14" fillId="4" borderId="58" xfId="4" applyNumberFormat="1" applyFont="1" applyFill="1" applyBorder="1" applyAlignment="1">
      <alignment horizontal="center" vertical="center"/>
    </xf>
    <xf numFmtId="175" fontId="14" fillId="4" borderId="3" xfId="4" applyNumberFormat="1" applyFont="1" applyFill="1" applyBorder="1" applyAlignment="1">
      <alignment horizontal="center" vertical="center"/>
    </xf>
    <xf numFmtId="175" fontId="14" fillId="4" borderId="59" xfId="4" applyNumberFormat="1" applyFont="1" applyFill="1" applyBorder="1" applyAlignment="1">
      <alignment horizontal="center" vertical="center"/>
    </xf>
    <xf numFmtId="49" fontId="14" fillId="2" borderId="34" xfId="4" applyNumberFormat="1" applyFont="1" applyFill="1" applyBorder="1" applyAlignment="1">
      <alignment horizontal="center" vertical="center" wrapText="1"/>
    </xf>
    <xf numFmtId="49" fontId="14" fillId="2" borderId="36" xfId="4" applyNumberFormat="1" applyFont="1" applyFill="1" applyBorder="1" applyAlignment="1">
      <alignment horizontal="center" vertical="center" wrapText="1"/>
    </xf>
    <xf numFmtId="0" fontId="14" fillId="2" borderId="35" xfId="4" applyFont="1" applyFill="1" applyBorder="1" applyAlignment="1">
      <alignment horizontal="center" vertical="center" wrapText="1"/>
    </xf>
    <xf numFmtId="0" fontId="14" fillId="2" borderId="37" xfId="4" applyFont="1" applyFill="1" applyBorder="1" applyAlignment="1">
      <alignment horizontal="center" vertical="center" wrapText="1"/>
    </xf>
    <xf numFmtId="175" fontId="14" fillId="4" borderId="1" xfId="4" applyNumberFormat="1" applyFont="1" applyFill="1" applyBorder="1" applyAlignment="1">
      <alignment horizontal="right" vertical="center"/>
    </xf>
    <xf numFmtId="0" fontId="21" fillId="2" borderId="32" xfId="4" applyFont="1" applyFill="1" applyBorder="1" applyAlignment="1">
      <alignment horizontal="center" vertical="center" wrapText="1"/>
    </xf>
    <xf numFmtId="0" fontId="21" fillId="2" borderId="33" xfId="4" applyFont="1" applyFill="1" applyBorder="1" applyAlignment="1">
      <alignment horizontal="center" vertical="center" wrapText="1"/>
    </xf>
    <xf numFmtId="49" fontId="9" fillId="6" borderId="19" xfId="0" applyNumberFormat="1" applyFont="1" applyFill="1" applyBorder="1" applyAlignment="1">
      <alignment horizontal="center" vertical="center" wrapText="1"/>
    </xf>
    <xf numFmtId="49" fontId="9" fillId="6" borderId="68" xfId="0" applyNumberFormat="1" applyFont="1" applyFill="1" applyBorder="1" applyAlignment="1">
      <alignment horizontal="center" vertical="center" wrapText="1"/>
    </xf>
    <xf numFmtId="49" fontId="9" fillId="6" borderId="71" xfId="0" applyNumberFormat="1" applyFont="1" applyFill="1" applyBorder="1" applyAlignment="1">
      <alignment horizontal="center" vertical="center" wrapText="1"/>
    </xf>
    <xf numFmtId="49" fontId="9" fillId="6" borderId="72" xfId="0" applyNumberFormat="1" applyFont="1" applyFill="1" applyBorder="1" applyAlignment="1">
      <alignment horizontal="center" vertical="center" wrapText="1"/>
    </xf>
    <xf numFmtId="49" fontId="9" fillId="6" borderId="73" xfId="0" applyNumberFormat="1" applyFont="1" applyFill="1" applyBorder="1" applyAlignment="1">
      <alignment horizontal="center" vertical="center" wrapText="1"/>
    </xf>
    <xf numFmtId="49" fontId="9" fillId="6" borderId="64" xfId="0" applyNumberFormat="1" applyFont="1" applyFill="1" applyBorder="1" applyAlignment="1">
      <alignment horizontal="center" vertical="center" wrapText="1"/>
    </xf>
    <xf numFmtId="49" fontId="9" fillId="6" borderId="76" xfId="0" applyNumberFormat="1" applyFont="1" applyFill="1" applyBorder="1" applyAlignment="1">
      <alignment horizontal="center" vertical="center" wrapText="1"/>
    </xf>
    <xf numFmtId="49" fontId="9" fillId="6" borderId="74" xfId="0" applyNumberFormat="1" applyFont="1" applyFill="1" applyBorder="1" applyAlignment="1">
      <alignment horizontal="center" vertical="center" wrapText="1"/>
    </xf>
    <xf numFmtId="49" fontId="9" fillId="6" borderId="66" xfId="0" applyNumberFormat="1" applyFont="1" applyFill="1" applyBorder="1" applyAlignment="1">
      <alignment horizontal="center" vertical="center" wrapText="1"/>
    </xf>
    <xf numFmtId="49" fontId="9" fillId="6" borderId="75" xfId="0" applyNumberFormat="1" applyFont="1" applyFill="1" applyBorder="1" applyAlignment="1">
      <alignment horizontal="center" vertical="center" wrapText="1"/>
    </xf>
    <xf numFmtId="0" fontId="44" fillId="7" borderId="94" xfId="0" applyFont="1" applyFill="1" applyBorder="1" applyAlignment="1">
      <alignment horizontal="center"/>
    </xf>
    <xf numFmtId="0" fontId="44" fillId="7" borderId="95" xfId="0" applyFont="1" applyFill="1" applyBorder="1" applyAlignment="1">
      <alignment horizontal="center"/>
    </xf>
    <xf numFmtId="0" fontId="14" fillId="10" borderId="31" xfId="0" applyFont="1" applyFill="1" applyBorder="1" applyAlignment="1">
      <alignment horizontal="center" vertical="center" wrapText="1"/>
    </xf>
    <xf numFmtId="0" fontId="14" fillId="10" borderId="32" xfId="0" applyFont="1" applyFill="1" applyBorder="1" applyAlignment="1">
      <alignment horizontal="center" vertical="center" wrapText="1"/>
    </xf>
    <xf numFmtId="0" fontId="14" fillId="10" borderId="33" xfId="0" applyFont="1" applyFill="1" applyBorder="1" applyAlignment="1">
      <alignment horizontal="center" vertical="center" wrapText="1"/>
    </xf>
    <xf numFmtId="0" fontId="41" fillId="10" borderId="31" xfId="0" applyFont="1" applyFill="1" applyBorder="1" applyAlignment="1">
      <alignment horizontal="center" vertical="center" wrapText="1"/>
    </xf>
    <xf numFmtId="0" fontId="41" fillId="10" borderId="32" xfId="0" applyFont="1" applyFill="1" applyBorder="1" applyAlignment="1">
      <alignment horizontal="center" vertical="center" wrapText="1"/>
    </xf>
    <xf numFmtId="0" fontId="41" fillId="10" borderId="33" xfId="0" applyFont="1" applyFill="1" applyBorder="1" applyAlignment="1">
      <alignment horizontal="center" vertical="center" wrapText="1"/>
    </xf>
    <xf numFmtId="0" fontId="33" fillId="6" borderId="78" xfId="0" applyFont="1" applyFill="1" applyBorder="1" applyAlignment="1">
      <alignment horizontal="right" vertical="center"/>
    </xf>
    <xf numFmtId="0" fontId="33" fillId="6" borderId="32" xfId="0" applyFont="1" applyFill="1" applyBorder="1" applyAlignment="1">
      <alignment horizontal="right" vertical="center"/>
    </xf>
    <xf numFmtId="0" fontId="34" fillId="0" borderId="32" xfId="0" applyFont="1" applyBorder="1"/>
    <xf numFmtId="0" fontId="44" fillId="2" borderId="95" xfId="0" applyFont="1" applyFill="1" applyBorder="1" applyAlignment="1">
      <alignment horizontal="center"/>
    </xf>
    <xf numFmtId="0" fontId="44" fillId="2" borderId="96" xfId="0" applyFont="1" applyFill="1" applyBorder="1" applyAlignment="1">
      <alignment horizontal="center"/>
    </xf>
    <xf numFmtId="164" fontId="3" fillId="0" borderId="16" xfId="0" applyNumberFormat="1" applyFont="1" applyBorder="1" applyAlignment="1">
      <alignment horizontal="left" vertical="center" wrapText="1"/>
    </xf>
    <xf numFmtId="164" fontId="3" fillId="0" borderId="17" xfId="0" applyNumberFormat="1" applyFont="1" applyBorder="1" applyAlignment="1">
      <alignment horizontal="left" vertical="center" wrapText="1"/>
    </xf>
    <xf numFmtId="164" fontId="3" fillId="0" borderId="87" xfId="0" applyNumberFormat="1" applyFont="1" applyBorder="1" applyAlignment="1">
      <alignment horizontal="left" vertical="center" wrapText="1"/>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4" fillId="0" borderId="45" xfId="0" applyFont="1" applyBorder="1" applyAlignment="1">
      <alignment horizontal="left" vertical="center"/>
    </xf>
    <xf numFmtId="0" fontId="2" fillId="0" borderId="0" xfId="0" applyFont="1" applyBorder="1" applyAlignment="1">
      <alignment horizontal="center" vertical="center" wrapText="1"/>
    </xf>
    <xf numFmtId="0" fontId="4" fillId="3" borderId="28" xfId="0" applyFont="1" applyFill="1" applyBorder="1" applyAlignment="1">
      <alignment horizontal="center" vertical="center" wrapText="1"/>
    </xf>
    <xf numFmtId="0" fontId="4" fillId="3" borderId="29" xfId="0" applyFont="1" applyFill="1" applyBorder="1" applyAlignment="1">
      <alignment horizontal="center" vertical="center" wrapText="1"/>
    </xf>
    <xf numFmtId="0" fontId="4" fillId="3" borderId="30" xfId="0" applyFont="1" applyFill="1" applyBorder="1" applyAlignment="1">
      <alignment horizontal="center" vertical="center" wrapText="1"/>
    </xf>
    <xf numFmtId="0" fontId="4" fillId="7" borderId="28" xfId="0" applyFont="1" applyFill="1" applyBorder="1" applyAlignment="1">
      <alignment horizontal="center" vertical="center" wrapText="1"/>
    </xf>
    <xf numFmtId="0" fontId="4" fillId="7" borderId="29" xfId="0" applyFont="1" applyFill="1" applyBorder="1" applyAlignment="1">
      <alignment horizontal="center" vertical="center" wrapText="1"/>
    </xf>
    <xf numFmtId="0" fontId="4" fillId="7" borderId="30" xfId="0" applyFont="1" applyFill="1" applyBorder="1" applyAlignment="1">
      <alignment horizontal="center" vertical="center" wrapText="1"/>
    </xf>
    <xf numFmtId="0" fontId="4" fillId="9" borderId="31"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4" fillId="9" borderId="33" xfId="0" applyFont="1" applyFill="1" applyBorder="1" applyAlignment="1">
      <alignment horizontal="center" vertical="center" wrapText="1"/>
    </xf>
    <xf numFmtId="164" fontId="4" fillId="9" borderId="21" xfId="0" applyNumberFormat="1" applyFont="1" applyFill="1" applyBorder="1" applyAlignment="1">
      <alignment horizontal="center" vertical="center"/>
    </xf>
    <xf numFmtId="164" fontId="4" fillId="9" borderId="0" xfId="0" applyNumberFormat="1" applyFont="1" applyFill="1" applyBorder="1" applyAlignment="1">
      <alignment horizontal="center" vertical="center"/>
    </xf>
    <xf numFmtId="0" fontId="0" fillId="0" borderId="0" xfId="0" applyAlignment="1">
      <alignment horizontal="left" vertical="center" wrapText="1"/>
    </xf>
  </cellXfs>
  <cellStyles count="18">
    <cellStyle name="Millares" xfId="17" builtinId="3"/>
    <cellStyle name="Millares [0]" xfId="2" builtinId="6"/>
    <cellStyle name="Millares 11" xfId="10" xr:uid="{C972ABDF-E957-4524-8346-B99193D3F44F}"/>
    <cellStyle name="Millares 2 2 2" xfId="6" xr:uid="{ECEE80E9-8A0B-4791-B0ED-8DC6820966F9}"/>
    <cellStyle name="Millares 3 2 2" xfId="5" xr:uid="{15C0F7D0-441C-445C-9553-000ED4D2FA71}"/>
    <cellStyle name="Moneda" xfId="1" builtinId="4"/>
    <cellStyle name="Moneda 10" xfId="8" xr:uid="{2E5CA9BF-14D9-48F2-8F10-85CBD9EC9153}"/>
    <cellStyle name="Moneda 11" xfId="12" xr:uid="{44936537-F98D-4B40-BC22-0700B9AA6F0B}"/>
    <cellStyle name="Moneda 2 13" xfId="11" xr:uid="{31C1C577-F59E-45BD-9299-A2560A30144D}"/>
    <cellStyle name="Moneda 4" xfId="14" xr:uid="{9311927E-9199-4852-915D-7690F0ADBBC1}"/>
    <cellStyle name="Normal" xfId="0" builtinId="0"/>
    <cellStyle name="Normal 11" xfId="15" xr:uid="{935CF4EE-D2A7-470D-AC64-AFE3D03EECF9}"/>
    <cellStyle name="Normal 13" xfId="16" xr:uid="{4340B27A-F3C4-4AC6-BEE6-05A0C9CFD702}"/>
    <cellStyle name="Normal 14" xfId="7" xr:uid="{23A0CFCE-A3F1-44AA-A387-9BE296454848}"/>
    <cellStyle name="Normal 2 2" xfId="4" xr:uid="{AD5DC6D6-86CD-4790-ADC2-540D5239114A}"/>
    <cellStyle name="Normal_APU ADICIONALES" xfId="13" xr:uid="{ADE2308B-650C-4793-AF3C-74DE3CEF6660}"/>
    <cellStyle name="Porcentaje" xfId="3" builtinId="5"/>
    <cellStyle name="Porcentaje 4 2" xfId="9" xr:uid="{85686893-A524-465D-986A-0F970365E603}"/>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2730499</xdr:colOff>
      <xdr:row>20</xdr:row>
      <xdr:rowOff>50800</xdr:rowOff>
    </xdr:from>
    <xdr:ext cx="1957169" cy="555576"/>
    <xdr:pic>
      <xdr:nvPicPr>
        <xdr:cNvPr id="2" name="Imagen 1">
          <a:extLst>
            <a:ext uri="{FF2B5EF4-FFF2-40B4-BE49-F238E27FC236}">
              <a16:creationId xmlns:a16="http://schemas.microsoft.com/office/drawing/2014/main" id="{726F2D06-37EC-4586-965D-BDBEBD78D8F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rot="21033569">
          <a:off x="2282824" y="3860800"/>
          <a:ext cx="1957169" cy="555576"/>
        </a:xfrm>
        <a:prstGeom prst="rect">
          <a:avLst/>
        </a:prstGeom>
        <a:noFill/>
        <a:ln>
          <a:noFill/>
        </a:ln>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ESUPUESTO%20PROYECTO%20cubiertas+transporte%20ENTREG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PTO GENERAL"/>
      <sheetName val="PTO obra"/>
      <sheetName val="RESUMEN OBRA"/>
      <sheetName val="APUS"/>
      <sheetName val="INSUMOS"/>
      <sheetName val="CANTIDADES HIDROSANITARIO"/>
      <sheetName val="CANTIDADES"/>
      <sheetName val="BASICOS"/>
      <sheetName val="FP"/>
      <sheetName val="INTERVENTORIA"/>
      <sheetName val="FM"/>
      <sheetName val="GERENCIA"/>
      <sheetName val="FIDUCIA"/>
      <sheetName val="PMA"/>
      <sheetName val="AIU"/>
      <sheetName val="PRESUPUESTO"/>
      <sheetName val="CRONOGRAMA"/>
    </sheetNames>
    <sheetDataSet>
      <sheetData sheetId="0"/>
      <sheetData sheetId="1">
        <row r="25">
          <cell r="H25">
            <v>259698250</v>
          </cell>
        </row>
        <row r="54">
          <cell r="H54">
            <v>183465827</v>
          </cell>
        </row>
        <row r="83">
          <cell r="H83">
            <v>35654050</v>
          </cell>
        </row>
        <row r="112">
          <cell r="H112">
            <v>207042627</v>
          </cell>
        </row>
        <row r="142">
          <cell r="H142">
            <v>74047393</v>
          </cell>
        </row>
        <row r="152">
          <cell r="H152">
            <v>71693899</v>
          </cell>
        </row>
        <row r="154">
          <cell r="H154">
            <v>831602046</v>
          </cell>
        </row>
        <row r="161">
          <cell r="H161">
            <v>15370000</v>
          </cell>
        </row>
        <row r="162">
          <cell r="H162">
            <v>1104352878</v>
          </cell>
        </row>
        <row r="165">
          <cell r="G165">
            <v>1.3095000000000001</v>
          </cell>
        </row>
      </sheetData>
      <sheetData sheetId="2">
        <row r="32">
          <cell r="H32">
            <v>71693899</v>
          </cell>
        </row>
      </sheetData>
      <sheetData sheetId="3">
        <row r="40">
          <cell r="H40">
            <v>13071.221490062557</v>
          </cell>
        </row>
        <row r="88">
          <cell r="H88">
            <v>24723</v>
          </cell>
        </row>
        <row r="135">
          <cell r="H135">
            <v>59066</v>
          </cell>
        </row>
        <row r="182">
          <cell r="H182">
            <v>91298.616971129333</v>
          </cell>
        </row>
        <row r="230">
          <cell r="H230">
            <v>74872.883300000001</v>
          </cell>
        </row>
        <row r="278">
          <cell r="H278">
            <v>40022.4833</v>
          </cell>
        </row>
        <row r="326">
          <cell r="H326">
            <v>63246.588866666665</v>
          </cell>
        </row>
        <row r="373">
          <cell r="H373">
            <v>63582.363706349206</v>
          </cell>
        </row>
        <row r="420">
          <cell r="H420">
            <v>40926.078672222218</v>
          </cell>
        </row>
        <row r="464">
          <cell r="H464">
            <v>32566.878672222225</v>
          </cell>
        </row>
        <row r="511">
          <cell r="H511">
            <v>21861.074502083335</v>
          </cell>
        </row>
        <row r="554">
          <cell r="H554">
            <v>346631.86067616666</v>
          </cell>
        </row>
        <row r="598">
          <cell r="H598">
            <v>34500.618008333331</v>
          </cell>
        </row>
        <row r="640">
          <cell r="H640">
            <v>42507.018008333325</v>
          </cell>
        </row>
        <row r="685">
          <cell r="H685">
            <v>63918.575564814819</v>
          </cell>
        </row>
        <row r="726">
          <cell r="H726">
            <v>85814.354043859654</v>
          </cell>
        </row>
        <row r="769">
          <cell r="H769">
            <v>26403.487424999999</v>
          </cell>
        </row>
        <row r="811">
          <cell r="H811">
            <v>19558.138833333331</v>
          </cell>
        </row>
        <row r="852">
          <cell r="H852">
            <v>24563.399020000001</v>
          </cell>
        </row>
        <row r="893">
          <cell r="H893">
            <v>5752.3937745098037</v>
          </cell>
        </row>
        <row r="939">
          <cell r="H939">
            <v>60567.673541666663</v>
          </cell>
        </row>
        <row r="980">
          <cell r="H980">
            <v>3414.0454137476459</v>
          </cell>
        </row>
        <row r="1022">
          <cell r="H1022">
            <v>29337208.25</v>
          </cell>
        </row>
        <row r="1063">
          <cell r="H1063">
            <v>29423.255533333333</v>
          </cell>
        </row>
      </sheetData>
      <sheetData sheetId="4"/>
      <sheetData sheetId="5">
        <row r="5">
          <cell r="B5">
            <v>48.600000000000009</v>
          </cell>
          <cell r="C5">
            <v>6.4</v>
          </cell>
          <cell r="D5">
            <v>8.2999999999999989</v>
          </cell>
          <cell r="E5">
            <v>0</v>
          </cell>
          <cell r="F5">
            <v>17.349999999999998</v>
          </cell>
        </row>
        <row r="6">
          <cell r="B6">
            <v>59.249999999999993</v>
          </cell>
          <cell r="C6">
            <v>3.3</v>
          </cell>
          <cell r="D6">
            <v>2.9</v>
          </cell>
          <cell r="E6">
            <v>17.099999999999998</v>
          </cell>
          <cell r="F6">
            <v>0</v>
          </cell>
        </row>
        <row r="7">
          <cell r="C7">
            <v>37.949999999999996</v>
          </cell>
          <cell r="D7">
            <v>33.5</v>
          </cell>
          <cell r="E7">
            <v>0</v>
          </cell>
          <cell r="F7">
            <v>89.45</v>
          </cell>
        </row>
        <row r="8">
          <cell r="B8">
            <v>35.200000000000003</v>
          </cell>
          <cell r="C8">
            <v>0</v>
          </cell>
          <cell r="D8">
            <v>0</v>
          </cell>
          <cell r="E8">
            <v>0</v>
          </cell>
          <cell r="F8">
            <v>0</v>
          </cell>
        </row>
        <row r="9">
          <cell r="B9">
            <v>143.05000000000001</v>
          </cell>
          <cell r="C9">
            <v>47.649999999999991</v>
          </cell>
          <cell r="D9">
            <v>44.7</v>
          </cell>
          <cell r="E9">
            <v>17.099999999999998</v>
          </cell>
          <cell r="F9">
            <v>106.8</v>
          </cell>
        </row>
        <row r="15">
          <cell r="B15">
            <v>87.5</v>
          </cell>
          <cell r="C15">
            <v>38.5</v>
          </cell>
          <cell r="F15">
            <v>77</v>
          </cell>
        </row>
        <row r="16">
          <cell r="B16">
            <v>17.5</v>
          </cell>
          <cell r="C16">
            <v>21</v>
          </cell>
          <cell r="E16">
            <v>7</v>
          </cell>
          <cell r="F16">
            <v>0</v>
          </cell>
        </row>
        <row r="18">
          <cell r="B18">
            <v>16</v>
          </cell>
          <cell r="C18">
            <v>18</v>
          </cell>
          <cell r="E18">
            <v>2</v>
          </cell>
          <cell r="F18">
            <v>22</v>
          </cell>
        </row>
        <row r="24">
          <cell r="C24">
            <v>14.650000000000002</v>
          </cell>
        </row>
        <row r="25">
          <cell r="C25">
            <v>111.15</v>
          </cell>
        </row>
        <row r="26">
          <cell r="B26">
            <v>53.649999999999991</v>
          </cell>
          <cell r="C26">
            <v>97.449999999999989</v>
          </cell>
          <cell r="F26">
            <v>89.399999999999991</v>
          </cell>
        </row>
        <row r="27">
          <cell r="C27">
            <v>0</v>
          </cell>
        </row>
        <row r="52">
          <cell r="D52">
            <v>53.403432686321629</v>
          </cell>
          <cell r="E52">
            <v>65.100053602381124</v>
          </cell>
          <cell r="F52">
            <v>13.389787330870696</v>
          </cell>
          <cell r="G52">
            <v>3.3032309650563043</v>
          </cell>
          <cell r="H52">
            <v>64.943766106743666</v>
          </cell>
        </row>
      </sheetData>
      <sheetData sheetId="6">
        <row r="28">
          <cell r="I28">
            <v>1285.8900000000001</v>
          </cell>
        </row>
        <row r="39">
          <cell r="D39">
            <v>38.68</v>
          </cell>
        </row>
        <row r="56">
          <cell r="D56">
            <v>59.5</v>
          </cell>
        </row>
        <row r="58">
          <cell r="I58">
            <v>984.4</v>
          </cell>
        </row>
        <row r="95">
          <cell r="I95">
            <v>121</v>
          </cell>
        </row>
        <row r="104">
          <cell r="I104">
            <v>8.17</v>
          </cell>
        </row>
        <row r="113">
          <cell r="I113">
            <v>10.91</v>
          </cell>
        </row>
        <row r="125">
          <cell r="I125">
            <v>265.7</v>
          </cell>
        </row>
        <row r="134">
          <cell r="I134">
            <v>192.65899999999999</v>
          </cell>
        </row>
        <row r="143">
          <cell r="I143">
            <v>192.65899999999999</v>
          </cell>
        </row>
        <row r="152">
          <cell r="I152">
            <v>12.7</v>
          </cell>
        </row>
        <row r="161">
          <cell r="I161">
            <v>25.4</v>
          </cell>
        </row>
        <row r="178">
          <cell r="I178">
            <v>989.94549999999992</v>
          </cell>
        </row>
        <row r="193">
          <cell r="I193">
            <v>699.19</v>
          </cell>
        </row>
        <row r="211">
          <cell r="I211">
            <v>989.94549999999992</v>
          </cell>
        </row>
        <row r="227">
          <cell r="I227">
            <v>102.7</v>
          </cell>
        </row>
        <row r="238">
          <cell r="I238">
            <v>14.48</v>
          </cell>
        </row>
        <row r="249">
          <cell r="I249">
            <v>11.440000000000001</v>
          </cell>
        </row>
        <row r="261">
          <cell r="I261">
            <v>193</v>
          </cell>
        </row>
        <row r="273">
          <cell r="I273">
            <v>362.1395</v>
          </cell>
        </row>
        <row r="286">
          <cell r="D286">
            <v>35.880000000000003</v>
          </cell>
        </row>
        <row r="288">
          <cell r="D288">
            <v>52.699999999999996</v>
          </cell>
        </row>
        <row r="289">
          <cell r="I289">
            <v>223.28</v>
          </cell>
        </row>
        <row r="301">
          <cell r="I301">
            <v>362.1395</v>
          </cell>
        </row>
        <row r="312">
          <cell r="I312">
            <v>29.41</v>
          </cell>
        </row>
        <row r="324">
          <cell r="I324">
            <v>66.099999999999994</v>
          </cell>
        </row>
        <row r="353">
          <cell r="I353">
            <v>871.45884999999998</v>
          </cell>
        </row>
        <row r="373">
          <cell r="I373">
            <v>871.45884999999998</v>
          </cell>
        </row>
        <row r="393">
          <cell r="I393">
            <v>74.73</v>
          </cell>
        </row>
        <row r="403">
          <cell r="I403">
            <v>18.71</v>
          </cell>
        </row>
        <row r="423">
          <cell r="I423">
            <v>192.3</v>
          </cell>
        </row>
        <row r="443">
          <cell r="I443">
            <v>542.12</v>
          </cell>
        </row>
        <row r="446">
          <cell r="D446">
            <v>0.38025339925834362</v>
          </cell>
        </row>
        <row r="447">
          <cell r="D447">
            <v>0.27008266378244744</v>
          </cell>
        </row>
        <row r="448">
          <cell r="D448">
            <v>0.20940976514215079</v>
          </cell>
        </row>
        <row r="449">
          <cell r="D449">
            <v>5.4005716934487018E-2</v>
          </cell>
        </row>
        <row r="450">
          <cell r="D450">
            <v>8.6248454882571074E-2</v>
          </cell>
        </row>
      </sheetData>
      <sheetData sheetId="7"/>
      <sheetData sheetId="8"/>
      <sheetData sheetId="9">
        <row r="26">
          <cell r="J26">
            <v>188960100</v>
          </cell>
        </row>
      </sheetData>
      <sheetData sheetId="10"/>
      <sheetData sheetId="11">
        <row r="24">
          <cell r="J24">
            <v>172669000</v>
          </cell>
        </row>
      </sheetData>
      <sheetData sheetId="12">
        <row r="11">
          <cell r="G11">
            <v>64307600</v>
          </cell>
        </row>
      </sheetData>
      <sheetData sheetId="13">
        <row r="15">
          <cell r="J15">
            <v>15370000</v>
          </cell>
        </row>
      </sheetData>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9B2E4-4730-4610-8DA8-CC9C369BDAF9}">
  <sheetPr>
    <tabColor theme="3" tint="0.59999389629810485"/>
    <pageSetUpPr fitToPage="1"/>
  </sheetPr>
  <dimension ref="A1:H26"/>
  <sheetViews>
    <sheetView topLeftCell="A4" zoomScale="90" zoomScaleNormal="90" zoomScaleSheetLayoutView="80" workbookViewId="0">
      <selection activeCell="F1" sqref="A1:XFD3"/>
    </sheetView>
  </sheetViews>
  <sheetFormatPr baseColWidth="10" defaultRowHeight="15" x14ac:dyDescent="0.25"/>
  <cols>
    <col min="1" max="1" width="5" customWidth="1"/>
    <col min="2" max="2" width="27.5703125" style="15" customWidth="1"/>
    <col min="3" max="3" width="53.42578125" style="16" customWidth="1"/>
    <col min="4" max="4" width="19.42578125" style="17" customWidth="1"/>
    <col min="5" max="5" width="26.85546875" style="18" customWidth="1"/>
    <col min="6" max="6" width="19.85546875" bestFit="1" customWidth="1"/>
    <col min="7" max="7" width="16.42578125" bestFit="1" customWidth="1"/>
    <col min="8" max="8" width="15.42578125" bestFit="1" customWidth="1"/>
  </cols>
  <sheetData>
    <row r="1" spans="1:8" x14ac:dyDescent="0.25">
      <c r="A1" s="500" t="s">
        <v>0</v>
      </c>
      <c r="B1" s="500"/>
      <c r="C1" s="500"/>
      <c r="D1" s="500"/>
      <c r="E1" s="500"/>
    </row>
    <row r="2" spans="1:8" x14ac:dyDescent="0.25">
      <c r="A2" s="500"/>
      <c r="B2" s="500"/>
      <c r="C2" s="500"/>
      <c r="D2" s="500"/>
      <c r="E2" s="500"/>
    </row>
    <row r="3" spans="1:8" x14ac:dyDescent="0.25">
      <c r="A3" s="500"/>
      <c r="B3" s="500"/>
      <c r="C3" s="500"/>
      <c r="D3" s="500"/>
      <c r="E3" s="500"/>
    </row>
    <row r="4" spans="1:8" ht="30.6" customHeight="1" x14ac:dyDescent="0.25">
      <c r="A4" s="501" t="s">
        <v>195</v>
      </c>
      <c r="B4" s="501"/>
      <c r="C4" s="501"/>
      <c r="D4" s="501"/>
      <c r="E4" s="501"/>
    </row>
    <row r="5" spans="1:8" x14ac:dyDescent="0.25">
      <c r="A5" s="502" t="s">
        <v>1</v>
      </c>
      <c r="B5" s="502"/>
      <c r="C5" s="502" t="s">
        <v>2</v>
      </c>
      <c r="D5" s="502"/>
      <c r="E5" s="1" t="s">
        <v>3</v>
      </c>
    </row>
    <row r="6" spans="1:8" ht="30" customHeight="1" x14ac:dyDescent="0.25">
      <c r="A6" s="2">
        <v>1</v>
      </c>
      <c r="B6" s="3" t="s">
        <v>4</v>
      </c>
      <c r="C6" s="498" t="s">
        <v>5</v>
      </c>
      <c r="D6" s="498"/>
      <c r="E6" s="4">
        <v>83500302</v>
      </c>
    </row>
    <row r="7" spans="1:8" ht="30" x14ac:dyDescent="0.25">
      <c r="A7" s="505">
        <v>2</v>
      </c>
      <c r="B7" s="504" t="s">
        <v>6</v>
      </c>
      <c r="C7" s="5" t="s">
        <v>7</v>
      </c>
      <c r="D7" s="6">
        <v>367835334</v>
      </c>
      <c r="E7" s="506">
        <v>1092404997</v>
      </c>
      <c r="F7" s="7"/>
      <c r="G7" s="7"/>
      <c r="H7" s="8"/>
    </row>
    <row r="8" spans="1:8" ht="30" x14ac:dyDescent="0.25">
      <c r="A8" s="505"/>
      <c r="B8" s="504"/>
      <c r="C8" s="5" t="s">
        <v>8</v>
      </c>
      <c r="D8" s="6">
        <v>296193220</v>
      </c>
      <c r="E8" s="506"/>
      <c r="F8" s="7"/>
      <c r="G8" s="7"/>
      <c r="H8" s="9"/>
    </row>
    <row r="9" spans="1:8" ht="30" x14ac:dyDescent="0.25">
      <c r="A9" s="505"/>
      <c r="B9" s="504"/>
      <c r="C9" s="5" t="s">
        <v>9</v>
      </c>
      <c r="D9" s="6">
        <v>262648007</v>
      </c>
      <c r="E9" s="506"/>
      <c r="F9" s="10"/>
      <c r="G9" s="7"/>
    </row>
    <row r="10" spans="1:8" ht="45" x14ac:dyDescent="0.25">
      <c r="A10" s="505"/>
      <c r="B10" s="504"/>
      <c r="C10" s="5" t="s">
        <v>10</v>
      </c>
      <c r="D10" s="6">
        <v>51619646</v>
      </c>
      <c r="E10" s="506"/>
      <c r="F10" s="7"/>
      <c r="G10" s="7"/>
      <c r="H10" s="9"/>
    </row>
    <row r="11" spans="1:8" ht="30" x14ac:dyDescent="0.25">
      <c r="A11" s="505"/>
      <c r="B11" s="504"/>
      <c r="C11" s="5" t="s">
        <v>11</v>
      </c>
      <c r="D11" s="6">
        <v>105598790</v>
      </c>
      <c r="E11" s="506"/>
      <c r="F11" s="7"/>
      <c r="G11" s="7"/>
      <c r="H11" s="9"/>
    </row>
    <row r="12" spans="1:8" x14ac:dyDescent="0.25">
      <c r="A12" s="505"/>
      <c r="B12" s="504"/>
      <c r="C12" s="5" t="s">
        <v>13</v>
      </c>
      <c r="D12" s="11">
        <v>8510000</v>
      </c>
      <c r="E12" s="506"/>
    </row>
    <row r="13" spans="1:8" ht="20.45" customHeight="1" x14ac:dyDescent="0.25">
      <c r="A13" s="2">
        <v>3</v>
      </c>
      <c r="B13" s="12" t="s">
        <v>14</v>
      </c>
      <c r="C13" s="499" t="s">
        <v>15</v>
      </c>
      <c r="D13" s="499"/>
      <c r="E13" s="4">
        <v>120865920</v>
      </c>
      <c r="F13" s="7"/>
    </row>
    <row r="14" spans="1:8" x14ac:dyDescent="0.25">
      <c r="A14" s="2">
        <v>4</v>
      </c>
      <c r="B14" s="12" t="s">
        <v>16</v>
      </c>
      <c r="C14" s="499" t="s">
        <v>17</v>
      </c>
      <c r="D14" s="499"/>
      <c r="E14" s="4">
        <v>90007435</v>
      </c>
    </row>
    <row r="15" spans="1:8" x14ac:dyDescent="0.25">
      <c r="A15" s="2">
        <v>5</v>
      </c>
      <c r="B15" s="2" t="s">
        <v>18</v>
      </c>
      <c r="C15" s="499" t="s">
        <v>19</v>
      </c>
      <c r="D15" s="499"/>
      <c r="E15" s="13">
        <v>105719595.23999999</v>
      </c>
    </row>
    <row r="16" spans="1:8" x14ac:dyDescent="0.25">
      <c r="A16" s="2">
        <v>6</v>
      </c>
      <c r="B16" s="2" t="s">
        <v>20</v>
      </c>
      <c r="C16" s="499" t="s">
        <v>178</v>
      </c>
      <c r="D16" s="499"/>
      <c r="E16" s="13">
        <v>82771668.400000006</v>
      </c>
    </row>
    <row r="17" spans="1:6" x14ac:dyDescent="0.25">
      <c r="A17" s="2">
        <v>8</v>
      </c>
      <c r="B17" s="2" t="s">
        <v>22</v>
      </c>
      <c r="C17" s="499" t="s">
        <v>23</v>
      </c>
      <c r="D17" s="499"/>
      <c r="E17" s="13">
        <v>450000</v>
      </c>
      <c r="F17" s="7"/>
    </row>
    <row r="18" spans="1:6" x14ac:dyDescent="0.25">
      <c r="A18" s="2">
        <v>9</v>
      </c>
      <c r="B18" s="2" t="s">
        <v>24</v>
      </c>
      <c r="C18" s="499" t="s">
        <v>25</v>
      </c>
      <c r="D18" s="499"/>
      <c r="E18" s="13">
        <v>6246056.8700000001</v>
      </c>
      <c r="F18" s="7"/>
    </row>
    <row r="19" spans="1:6" x14ac:dyDescent="0.25">
      <c r="A19" s="507" t="s">
        <v>26</v>
      </c>
      <c r="B19" s="507"/>
      <c r="C19" s="507"/>
      <c r="D19" s="507"/>
      <c r="E19" s="14">
        <f>+SUM(E6:E18)</f>
        <v>1581965974.51</v>
      </c>
      <c r="F19" s="7"/>
    </row>
    <row r="20" spans="1:6" x14ac:dyDescent="0.25">
      <c r="F20" s="10"/>
    </row>
    <row r="21" spans="1:6" x14ac:dyDescent="0.25">
      <c r="E21" s="10"/>
      <c r="F21" s="19"/>
    </row>
    <row r="22" spans="1:6" x14ac:dyDescent="0.25">
      <c r="B22" s="20"/>
      <c r="F22" s="7"/>
    </row>
    <row r="23" spans="1:6" x14ac:dyDescent="0.25">
      <c r="B23" s="20"/>
      <c r="E23" s="10"/>
    </row>
    <row r="25" spans="1:6" ht="16.5" x14ac:dyDescent="0.25">
      <c r="C25" s="503" t="s">
        <v>28</v>
      </c>
      <c r="D25" s="503"/>
      <c r="E25" s="503"/>
      <c r="F25" s="503"/>
    </row>
    <row r="26" spans="1:6" ht="16.5" x14ac:dyDescent="0.25">
      <c r="C26" s="503" t="s">
        <v>27</v>
      </c>
      <c r="D26" s="503"/>
      <c r="E26" s="503"/>
      <c r="F26" s="503"/>
    </row>
  </sheetData>
  <mergeCells count="17">
    <mergeCell ref="C25:F25"/>
    <mergeCell ref="C26:F26"/>
    <mergeCell ref="C15:D15"/>
    <mergeCell ref="B7:B12"/>
    <mergeCell ref="A7:A12"/>
    <mergeCell ref="E7:E12"/>
    <mergeCell ref="A19:D19"/>
    <mergeCell ref="C16:D16"/>
    <mergeCell ref="C17:D17"/>
    <mergeCell ref="C18:D18"/>
    <mergeCell ref="C6:D6"/>
    <mergeCell ref="C13:D13"/>
    <mergeCell ref="C14:D14"/>
    <mergeCell ref="A1:E3"/>
    <mergeCell ref="A4:E4"/>
    <mergeCell ref="A5:B5"/>
    <mergeCell ref="C5:D5"/>
  </mergeCells>
  <pageMargins left="0.7" right="0.7" top="0.75" bottom="0.75" header="0.3" footer="0.3"/>
  <pageSetup paperSize="121" scale="82" orientation="landscape" horizontalDpi="360" verticalDpi="360" r:id="rId1"/>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ECD14-F1E7-47EB-BCCF-C3EB547B37A4}">
  <sheetPr>
    <tabColor theme="9" tint="0.59999389629810485"/>
    <pageSetUpPr fitToPage="1"/>
  </sheetPr>
  <dimension ref="A1:F44"/>
  <sheetViews>
    <sheetView tabSelected="1" topLeftCell="A32" zoomScale="90" zoomScaleNormal="90" zoomScaleSheetLayoutView="80" workbookViewId="0">
      <selection activeCell="D30" sqref="D30:D36"/>
    </sheetView>
  </sheetViews>
  <sheetFormatPr baseColWidth="10" defaultRowHeight="15" x14ac:dyDescent="0.25"/>
  <cols>
    <col min="1" max="1" width="5" customWidth="1"/>
    <col min="2" max="2" width="27.5703125" style="15" customWidth="1"/>
    <col min="3" max="3" width="50" style="16" customWidth="1"/>
    <col min="4" max="4" width="19.42578125" style="17" customWidth="1"/>
    <col min="5" max="5" width="26.85546875" style="18" customWidth="1"/>
    <col min="6" max="6" width="19.85546875" bestFit="1" customWidth="1"/>
    <col min="7" max="7" width="17.5703125" bestFit="1" customWidth="1"/>
    <col min="8" max="8" width="15.42578125" bestFit="1" customWidth="1"/>
  </cols>
  <sheetData>
    <row r="1" spans="1:6" x14ac:dyDescent="0.25">
      <c r="A1" s="508" t="s">
        <v>0</v>
      </c>
      <c r="B1" s="508"/>
      <c r="C1" s="508"/>
      <c r="D1" s="508"/>
      <c r="E1" s="508"/>
    </row>
    <row r="2" spans="1:6" x14ac:dyDescent="0.25">
      <c r="A2" s="508"/>
      <c r="B2" s="508"/>
      <c r="C2" s="508"/>
      <c r="D2" s="508"/>
      <c r="E2" s="508"/>
    </row>
    <row r="3" spans="1:6" x14ac:dyDescent="0.25">
      <c r="A3" s="508"/>
      <c r="B3" s="508"/>
      <c r="C3" s="508"/>
      <c r="D3" s="508"/>
      <c r="E3" s="508"/>
    </row>
    <row r="4" spans="1:6" ht="30.6" customHeight="1" x14ac:dyDescent="0.25">
      <c r="A4" s="501" t="s">
        <v>204</v>
      </c>
      <c r="B4" s="501"/>
      <c r="C4" s="501"/>
      <c r="D4" s="501"/>
      <c r="E4" s="501"/>
    </row>
    <row r="5" spans="1:6" x14ac:dyDescent="0.25">
      <c r="A5" s="509" t="s">
        <v>1</v>
      </c>
      <c r="B5" s="509"/>
      <c r="C5" s="509" t="s">
        <v>2</v>
      </c>
      <c r="D5" s="509"/>
      <c r="E5" s="192" t="s">
        <v>3</v>
      </c>
    </row>
    <row r="6" spans="1:6" ht="30" customHeight="1" x14ac:dyDescent="0.25">
      <c r="A6" s="193">
        <v>1</v>
      </c>
      <c r="B6" s="194" t="s">
        <v>4</v>
      </c>
      <c r="C6" s="498" t="s">
        <v>5</v>
      </c>
      <c r="D6" s="498"/>
      <c r="E6" s="4">
        <v>83500302</v>
      </c>
    </row>
    <row r="7" spans="1:6" ht="30" x14ac:dyDescent="0.25">
      <c r="A7" s="510">
        <v>2</v>
      </c>
      <c r="B7" s="511" t="s">
        <v>6</v>
      </c>
      <c r="C7" s="5" t="s">
        <v>7</v>
      </c>
      <c r="D7" s="6">
        <f>ROUND(('[1]PTO obra'!H25*'[1]PTO obra'!G165),0)</f>
        <v>340074858</v>
      </c>
      <c r="E7" s="506">
        <f>+'[1]PTO obra'!H162</f>
        <v>1104352878</v>
      </c>
      <c r="F7" s="7"/>
    </row>
    <row r="8" spans="1:6" ht="30" x14ac:dyDescent="0.25">
      <c r="A8" s="510"/>
      <c r="B8" s="511"/>
      <c r="C8" s="5" t="s">
        <v>8</v>
      </c>
      <c r="D8" s="6">
        <f>ROUND(('[1]PTO obra'!H112*'[1]PTO obra'!G165),0)</f>
        <v>271122320</v>
      </c>
      <c r="E8" s="506"/>
      <c r="F8" s="7"/>
    </row>
    <row r="9" spans="1:6" ht="30" x14ac:dyDescent="0.25">
      <c r="A9" s="510"/>
      <c r="B9" s="511"/>
      <c r="C9" s="5" t="s">
        <v>9</v>
      </c>
      <c r="D9" s="6">
        <f>ROUND(('[1]PTO obra'!H54*'[1]PTO obra'!G165),0)</f>
        <v>240248500</v>
      </c>
      <c r="E9" s="506"/>
      <c r="F9" s="10"/>
    </row>
    <row r="10" spans="1:6" ht="45" x14ac:dyDescent="0.25">
      <c r="A10" s="510"/>
      <c r="B10" s="511"/>
      <c r="C10" s="5" t="s">
        <v>10</v>
      </c>
      <c r="D10" s="6">
        <f>ROUND(('[1]PTO obra'!H83*'[1]PTO obra'!G165),0)</f>
        <v>46688978</v>
      </c>
      <c r="E10" s="506"/>
      <c r="F10" s="7"/>
    </row>
    <row r="11" spans="1:6" ht="30" x14ac:dyDescent="0.25">
      <c r="A11" s="510"/>
      <c r="B11" s="511"/>
      <c r="C11" s="5" t="s">
        <v>11</v>
      </c>
      <c r="D11" s="6">
        <f>ROUND(('[1]PTO obra'!H142*'[1]PTO obra'!G165),0)</f>
        <v>96965061</v>
      </c>
      <c r="E11" s="506"/>
      <c r="F11" s="7"/>
    </row>
    <row r="12" spans="1:6" x14ac:dyDescent="0.25">
      <c r="A12" s="510"/>
      <c r="B12" s="511"/>
      <c r="C12" s="5" t="s">
        <v>12</v>
      </c>
      <c r="D12" s="6">
        <f>ROUND(('[1]PTO obra'!H152*'[1]PTO obra'!G165),0)</f>
        <v>93883161</v>
      </c>
      <c r="E12" s="506"/>
      <c r="F12" s="7"/>
    </row>
    <row r="13" spans="1:6" ht="30" x14ac:dyDescent="0.25">
      <c r="A13" s="510"/>
      <c r="B13" s="511"/>
      <c r="C13" s="5" t="s">
        <v>13</v>
      </c>
      <c r="D13" s="11">
        <f>+'[1]PTO obra'!H161</f>
        <v>15370000</v>
      </c>
      <c r="E13" s="506"/>
    </row>
    <row r="14" spans="1:6" ht="20.45" customHeight="1" x14ac:dyDescent="0.25">
      <c r="A14" s="193">
        <v>3</v>
      </c>
      <c r="B14" s="195" t="s">
        <v>14</v>
      </c>
      <c r="C14" s="499" t="s">
        <v>15</v>
      </c>
      <c r="D14" s="499"/>
      <c r="E14" s="4">
        <f>+[1]INTERVENTORIA!J26</f>
        <v>188960100</v>
      </c>
      <c r="F14" s="7"/>
    </row>
    <row r="15" spans="1:6" x14ac:dyDescent="0.25">
      <c r="A15" s="193">
        <v>4</v>
      </c>
      <c r="B15" s="195" t="s">
        <v>16</v>
      </c>
      <c r="C15" s="499" t="s">
        <v>17</v>
      </c>
      <c r="D15" s="499"/>
      <c r="E15" s="4">
        <f>+[1]GERENCIA!J24</f>
        <v>172669000</v>
      </c>
    </row>
    <row r="16" spans="1:6" x14ac:dyDescent="0.25">
      <c r="A16" s="193">
        <v>5</v>
      </c>
      <c r="B16" s="193" t="s">
        <v>18</v>
      </c>
      <c r="C16" s="499" t="s">
        <v>19</v>
      </c>
      <c r="D16" s="499"/>
      <c r="E16" s="13">
        <f>+[1]FIDUCIA!G11</f>
        <v>64307600</v>
      </c>
    </row>
    <row r="17" spans="1:6" x14ac:dyDescent="0.25">
      <c r="A17" s="193">
        <v>6</v>
      </c>
      <c r="B17" s="193" t="s">
        <v>20</v>
      </c>
      <c r="C17" s="188" t="s">
        <v>21</v>
      </c>
      <c r="D17" s="188"/>
      <c r="E17" s="13">
        <f>+'[1]PTO obra'!H154*10%</f>
        <v>83160204.600000009</v>
      </c>
    </row>
    <row r="18" spans="1:6" x14ac:dyDescent="0.25">
      <c r="A18" s="193">
        <v>8</v>
      </c>
      <c r="B18" s="193" t="s">
        <v>22</v>
      </c>
      <c r="C18" s="188" t="s">
        <v>23</v>
      </c>
      <c r="D18" s="188"/>
      <c r="E18" s="13">
        <v>450000</v>
      </c>
      <c r="F18" s="7"/>
    </row>
    <row r="19" spans="1:6" x14ac:dyDescent="0.25">
      <c r="A19" s="193">
        <v>9</v>
      </c>
      <c r="B19" s="193" t="s">
        <v>24</v>
      </c>
      <c r="C19" s="188" t="s">
        <v>25</v>
      </c>
      <c r="D19" s="188"/>
      <c r="E19" s="13">
        <v>6246056.8700000001</v>
      </c>
      <c r="F19" s="7"/>
    </row>
    <row r="20" spans="1:6" x14ac:dyDescent="0.25">
      <c r="A20" s="512" t="s">
        <v>26</v>
      </c>
      <c r="B20" s="512"/>
      <c r="C20" s="512"/>
      <c r="D20" s="512"/>
      <c r="E20" s="200">
        <f>+SUM(E6:E19)</f>
        <v>1703646141.4699998</v>
      </c>
      <c r="F20" s="7"/>
    </row>
    <row r="21" spans="1:6" x14ac:dyDescent="0.25">
      <c r="F21" s="10"/>
    </row>
    <row r="22" spans="1:6" x14ac:dyDescent="0.25">
      <c r="E22" s="10"/>
      <c r="F22" s="19"/>
    </row>
    <row r="23" spans="1:6" x14ac:dyDescent="0.25">
      <c r="B23" s="20"/>
      <c r="F23" s="7"/>
    </row>
    <row r="24" spans="1:6" x14ac:dyDescent="0.25">
      <c r="A24" s="508" t="s">
        <v>0</v>
      </c>
      <c r="B24" s="508"/>
      <c r="C24" s="508"/>
      <c r="D24" s="508"/>
      <c r="E24" s="508"/>
    </row>
    <row r="25" spans="1:6" x14ac:dyDescent="0.25">
      <c r="A25" s="508"/>
      <c r="B25" s="508"/>
      <c r="C25" s="508"/>
      <c r="D25" s="508"/>
      <c r="E25" s="508"/>
    </row>
    <row r="26" spans="1:6" x14ac:dyDescent="0.25">
      <c r="A26" s="508"/>
      <c r="B26" s="508"/>
      <c r="C26" s="508"/>
      <c r="D26" s="508"/>
      <c r="E26" s="508"/>
    </row>
    <row r="27" spans="1:6" ht="30.6" customHeight="1" x14ac:dyDescent="0.25">
      <c r="A27" s="501" t="s">
        <v>205</v>
      </c>
      <c r="B27" s="501"/>
      <c r="C27" s="501"/>
      <c r="D27" s="501"/>
      <c r="E27" s="501"/>
    </row>
    <row r="28" spans="1:6" x14ac:dyDescent="0.25">
      <c r="A28" s="509" t="s">
        <v>1</v>
      </c>
      <c r="B28" s="509"/>
      <c r="C28" s="509" t="s">
        <v>2</v>
      </c>
      <c r="D28" s="509"/>
      <c r="E28" s="192" t="s">
        <v>3</v>
      </c>
    </row>
    <row r="29" spans="1:6" ht="30" customHeight="1" x14ac:dyDescent="0.25">
      <c r="A29" s="193">
        <v>1</v>
      </c>
      <c r="B29" s="194" t="s">
        <v>4</v>
      </c>
      <c r="C29" s="498" t="s">
        <v>5</v>
      </c>
      <c r="D29" s="498"/>
      <c r="E29" s="4">
        <v>83500302</v>
      </c>
    </row>
    <row r="30" spans="1:6" ht="30" x14ac:dyDescent="0.25">
      <c r="A30" s="510">
        <v>2</v>
      </c>
      <c r="B30" s="511" t="s">
        <v>6</v>
      </c>
      <c r="C30" s="5" t="s">
        <v>7</v>
      </c>
      <c r="D30" s="6">
        <f>+'PTO obra'!N26*'[1]PTO obra'!$G$165</f>
        <v>372176131.25250006</v>
      </c>
      <c r="E30" s="506">
        <f>+'PTO obra'!M163</f>
        <v>1202330845.168</v>
      </c>
      <c r="F30" s="7"/>
    </row>
    <row r="31" spans="1:6" ht="30" x14ac:dyDescent="0.25">
      <c r="A31" s="510"/>
      <c r="B31" s="511"/>
      <c r="C31" s="5" t="s">
        <v>8</v>
      </c>
      <c r="D31" s="6">
        <f>+'PTO obra'!N113*'[1]PTO obra'!$G$165</f>
        <v>299195293.32000005</v>
      </c>
      <c r="E31" s="506"/>
      <c r="F31" s="7"/>
    </row>
    <row r="32" spans="1:6" ht="30" x14ac:dyDescent="0.25">
      <c r="A32" s="510"/>
      <c r="B32" s="511"/>
      <c r="C32" s="5" t="s">
        <v>9</v>
      </c>
      <c r="D32" s="6">
        <f>+'PTO obra'!N55*'[1]PTO obra'!$G$165</f>
        <v>265251404.65950003</v>
      </c>
      <c r="E32" s="506"/>
      <c r="F32" s="10"/>
    </row>
    <row r="33" spans="1:6" ht="45" x14ac:dyDescent="0.25">
      <c r="A33" s="510"/>
      <c r="B33" s="511"/>
      <c r="C33" s="5" t="s">
        <v>10</v>
      </c>
      <c r="D33" s="6">
        <f>+'PTO obra'!N84*'[1]PTO obra'!$G$165</f>
        <v>50809868.905500002</v>
      </c>
      <c r="E33" s="506"/>
      <c r="F33" s="7"/>
    </row>
    <row r="34" spans="1:6" ht="30" x14ac:dyDescent="0.25">
      <c r="A34" s="510"/>
      <c r="B34" s="511"/>
      <c r="C34" s="5" t="s">
        <v>11</v>
      </c>
      <c r="D34" s="6">
        <f>+'PTO obra'!N143*'[1]PTO obra'!$G$165</f>
        <v>105644981.05200002</v>
      </c>
      <c r="E34" s="506"/>
      <c r="F34" s="7"/>
    </row>
    <row r="35" spans="1:6" x14ac:dyDescent="0.25">
      <c r="A35" s="510"/>
      <c r="B35" s="511"/>
      <c r="C35" s="5" t="s">
        <v>12</v>
      </c>
      <c r="D35" s="6">
        <f>+('PTO obra'!K33+'PTO obra'!K62+'PTO obra'!K91+'PTO obra'!K120+'PTO obra'!K150)*'[1]PTO obra'!$G$165</f>
        <v>93883165.978500009</v>
      </c>
      <c r="E35" s="506"/>
      <c r="F35" s="7"/>
    </row>
    <row r="36" spans="1:6" ht="30" x14ac:dyDescent="0.25">
      <c r="A36" s="510"/>
      <c r="B36" s="511"/>
      <c r="C36" s="5" t="s">
        <v>13</v>
      </c>
      <c r="D36" s="11">
        <f>+PMA!O16</f>
        <v>15370000</v>
      </c>
      <c r="E36" s="506"/>
    </row>
    <row r="37" spans="1:6" ht="20.45" customHeight="1" x14ac:dyDescent="0.25">
      <c r="A37" s="193">
        <v>3</v>
      </c>
      <c r="B37" s="195" t="s">
        <v>14</v>
      </c>
      <c r="C37" s="499" t="s">
        <v>15</v>
      </c>
      <c r="D37" s="499"/>
      <c r="E37" s="4">
        <f>+[1]INTERVENTORIA!J26</f>
        <v>188960100</v>
      </c>
      <c r="F37" s="7"/>
    </row>
    <row r="38" spans="1:6" x14ac:dyDescent="0.25">
      <c r="A38" s="193">
        <v>4</v>
      </c>
      <c r="B38" s="195" t="s">
        <v>16</v>
      </c>
      <c r="C38" s="499" t="s">
        <v>17</v>
      </c>
      <c r="D38" s="499"/>
      <c r="E38" s="4">
        <f>+[1]GERENCIA!J24</f>
        <v>172669000</v>
      </c>
    </row>
    <row r="39" spans="1:6" x14ac:dyDescent="0.25">
      <c r="A39" s="193">
        <v>5</v>
      </c>
      <c r="B39" s="193" t="s">
        <v>18</v>
      </c>
      <c r="C39" s="499" t="s">
        <v>19</v>
      </c>
      <c r="D39" s="499"/>
      <c r="E39" s="13">
        <f>+[1]FIDUCIA!G11</f>
        <v>64307600</v>
      </c>
    </row>
    <row r="40" spans="1:6" x14ac:dyDescent="0.25">
      <c r="A40" s="193">
        <v>6</v>
      </c>
      <c r="B40" s="193" t="s">
        <v>20</v>
      </c>
      <c r="C40" s="497" t="s">
        <v>21</v>
      </c>
      <c r="D40" s="497"/>
      <c r="E40" s="13">
        <f>'PTO obra'!M155*10%</f>
        <v>90642294.400000006</v>
      </c>
    </row>
    <row r="41" spans="1:6" x14ac:dyDescent="0.25">
      <c r="A41" s="193">
        <v>8</v>
      </c>
      <c r="B41" s="193" t="s">
        <v>22</v>
      </c>
      <c r="C41" s="497" t="s">
        <v>23</v>
      </c>
      <c r="D41" s="497"/>
      <c r="E41" s="13">
        <v>450000</v>
      </c>
      <c r="F41" s="7"/>
    </row>
    <row r="42" spans="1:6" x14ac:dyDescent="0.25">
      <c r="A42" s="193">
        <v>9</v>
      </c>
      <c r="B42" s="193" t="s">
        <v>24</v>
      </c>
      <c r="C42" s="497" t="s">
        <v>25</v>
      </c>
      <c r="D42" s="497"/>
      <c r="E42" s="13">
        <v>6246056.8700000001</v>
      </c>
      <c r="F42" s="7"/>
    </row>
    <row r="43" spans="1:6" x14ac:dyDescent="0.25">
      <c r="A43" s="512" t="s">
        <v>26</v>
      </c>
      <c r="B43" s="512"/>
      <c r="C43" s="512"/>
      <c r="D43" s="512"/>
      <c r="E43" s="200">
        <f>+SUM(E29:E42)</f>
        <v>1809106198.438</v>
      </c>
      <c r="F43" s="7"/>
    </row>
    <row r="44" spans="1:6" x14ac:dyDescent="0.25">
      <c r="F44" s="10"/>
    </row>
  </sheetData>
  <mergeCells count="24">
    <mergeCell ref="E30:E36"/>
    <mergeCell ref="C37:D37"/>
    <mergeCell ref="C38:D38"/>
    <mergeCell ref="C39:D39"/>
    <mergeCell ref="A43:D43"/>
    <mergeCell ref="A28:B28"/>
    <mergeCell ref="C28:D28"/>
    <mergeCell ref="C29:D29"/>
    <mergeCell ref="A30:A36"/>
    <mergeCell ref="B30:B36"/>
    <mergeCell ref="A1:E3"/>
    <mergeCell ref="A4:E4"/>
    <mergeCell ref="A5:B5"/>
    <mergeCell ref="C5:D5"/>
    <mergeCell ref="C6:D6"/>
    <mergeCell ref="A7:A13"/>
    <mergeCell ref="B7:B13"/>
    <mergeCell ref="E7:E13"/>
    <mergeCell ref="C14:D14"/>
    <mergeCell ref="C15:D15"/>
    <mergeCell ref="C16:D16"/>
    <mergeCell ref="A20:D20"/>
    <mergeCell ref="A24:E26"/>
    <mergeCell ref="A27:E27"/>
  </mergeCells>
  <pageMargins left="0.7" right="0.7" top="0.75" bottom="0.75" header="0.3" footer="0.3"/>
  <pageSetup paperSize="121" scale="82" orientation="landscape"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9D23C-0F2D-4124-A678-E0089FC4EC02}">
  <sheetPr>
    <tabColor theme="0" tint="-4.9989318521683403E-2"/>
    <pageSetUpPr fitToPage="1"/>
  </sheetPr>
  <dimension ref="A1:H36"/>
  <sheetViews>
    <sheetView topLeftCell="A22" zoomScale="90" zoomScaleNormal="90" zoomScaleSheetLayoutView="80" workbookViewId="0">
      <selection activeCell="E30" sqref="E30"/>
    </sheetView>
  </sheetViews>
  <sheetFormatPr baseColWidth="10" defaultRowHeight="15" x14ac:dyDescent="0.25"/>
  <cols>
    <col min="1" max="1" width="5" customWidth="1"/>
    <col min="2" max="2" width="27.5703125" style="15" customWidth="1"/>
    <col min="3" max="3" width="50" style="16" customWidth="1"/>
    <col min="4" max="4" width="25.7109375" style="18" customWidth="1"/>
    <col min="5" max="5" width="24.140625" customWidth="1"/>
    <col min="6" max="6" width="20.85546875" hidden="1" customWidth="1"/>
    <col min="7" max="7" width="2.28515625" customWidth="1"/>
    <col min="8" max="8" width="17.28515625" customWidth="1"/>
  </cols>
  <sheetData>
    <row r="1" spans="1:8" ht="15" customHeight="1" x14ac:dyDescent="0.25">
      <c r="A1" s="520" t="s">
        <v>0</v>
      </c>
      <c r="B1" s="521"/>
      <c r="C1" s="521"/>
      <c r="D1" s="521"/>
      <c r="E1" s="521"/>
      <c r="F1" s="522"/>
    </row>
    <row r="2" spans="1:8" x14ac:dyDescent="0.25">
      <c r="A2" s="523"/>
      <c r="B2" s="524"/>
      <c r="C2" s="524"/>
      <c r="D2" s="524"/>
      <c r="E2" s="524"/>
      <c r="F2" s="525"/>
    </row>
    <row r="3" spans="1:8" ht="15.75" thickBot="1" x14ac:dyDescent="0.3">
      <c r="A3" s="526"/>
      <c r="B3" s="527"/>
      <c r="C3" s="527"/>
      <c r="D3" s="527"/>
      <c r="E3" s="527"/>
      <c r="F3" s="528"/>
    </row>
    <row r="4" spans="1:8" ht="30.6" customHeight="1" thickBot="1" x14ac:dyDescent="0.3">
      <c r="A4" s="513" t="s">
        <v>198</v>
      </c>
      <c r="B4" s="514"/>
      <c r="C4" s="514"/>
      <c r="D4" s="514"/>
      <c r="E4" s="514"/>
      <c r="F4" s="515"/>
    </row>
    <row r="5" spans="1:8" x14ac:dyDescent="0.25">
      <c r="A5" s="516" t="s">
        <v>1</v>
      </c>
      <c r="B5" s="517"/>
      <c r="C5" s="411" t="s">
        <v>2</v>
      </c>
      <c r="D5" s="412" t="s">
        <v>30</v>
      </c>
      <c r="E5" s="413" t="s">
        <v>31</v>
      </c>
      <c r="F5" s="414" t="s">
        <v>197</v>
      </c>
      <c r="H5" s="482" t="s">
        <v>199</v>
      </c>
    </row>
    <row r="6" spans="1:8" ht="30" customHeight="1" x14ac:dyDescent="0.25">
      <c r="A6" s="415">
        <v>1</v>
      </c>
      <c r="B6" s="196" t="s">
        <v>4</v>
      </c>
      <c r="C6" s="189" t="s">
        <v>5</v>
      </c>
      <c r="D6" s="22">
        <f>+INICIAL!E6</f>
        <v>83500302</v>
      </c>
      <c r="E6" s="22">
        <f>+AJUSTADO!E6</f>
        <v>83500302</v>
      </c>
      <c r="F6" s="416">
        <f>+MAX(D6,E6)</f>
        <v>83500302</v>
      </c>
      <c r="H6" s="484">
        <f>+F6-D6</f>
        <v>0</v>
      </c>
    </row>
    <row r="7" spans="1:8" ht="30" x14ac:dyDescent="0.25">
      <c r="A7" s="417">
        <v>2</v>
      </c>
      <c r="B7" s="197" t="s">
        <v>6</v>
      </c>
      <c r="C7" s="5" t="s">
        <v>29</v>
      </c>
      <c r="D7" s="22">
        <f>+INICIAL!E7</f>
        <v>1092404997</v>
      </c>
      <c r="E7" s="22">
        <f>+AJUSTADO!E7</f>
        <v>1104352878</v>
      </c>
      <c r="F7" s="416">
        <f t="shared" ref="F7:F13" si="0">+MAX(D7,E7)</f>
        <v>1104352878</v>
      </c>
      <c r="G7" s="8"/>
      <c r="H7" s="484">
        <f>+F7-D7</f>
        <v>11947881</v>
      </c>
    </row>
    <row r="8" spans="1:8" ht="30" x14ac:dyDescent="0.25">
      <c r="A8" s="415">
        <v>3</v>
      </c>
      <c r="B8" s="198" t="s">
        <v>14</v>
      </c>
      <c r="C8" s="188" t="s">
        <v>15</v>
      </c>
      <c r="D8" s="22">
        <f>+INICIAL!E13</f>
        <v>120865920</v>
      </c>
      <c r="E8" s="22">
        <f>+AJUSTADO!E14</f>
        <v>188960100</v>
      </c>
      <c r="F8" s="416">
        <f t="shared" si="0"/>
        <v>188960100</v>
      </c>
      <c r="H8" s="484">
        <f t="shared" ref="H8:H13" si="1">+F8-D8</f>
        <v>68094180</v>
      </c>
    </row>
    <row r="9" spans="1:8" x14ac:dyDescent="0.25">
      <c r="A9" s="415">
        <v>4</v>
      </c>
      <c r="B9" s="198" t="s">
        <v>16</v>
      </c>
      <c r="C9" s="188" t="s">
        <v>17</v>
      </c>
      <c r="D9" s="22">
        <f>+INICIAL!E14</f>
        <v>90007435</v>
      </c>
      <c r="E9" s="22">
        <f>+AJUSTADO!E15</f>
        <v>172669000</v>
      </c>
      <c r="F9" s="416">
        <f t="shared" si="0"/>
        <v>172669000</v>
      </c>
      <c r="H9" s="484">
        <f t="shared" si="1"/>
        <v>82661565</v>
      </c>
    </row>
    <row r="10" spans="1:8" x14ac:dyDescent="0.25">
      <c r="A10" s="415">
        <v>5</v>
      </c>
      <c r="B10" s="199" t="s">
        <v>18</v>
      </c>
      <c r="C10" s="188" t="s">
        <v>19</v>
      </c>
      <c r="D10" s="22">
        <f>+INICIAL!E15</f>
        <v>105719595.23999999</v>
      </c>
      <c r="E10" s="22">
        <f>+AJUSTADO!E16</f>
        <v>64307600</v>
      </c>
      <c r="F10" s="416">
        <f>+E10</f>
        <v>64307600</v>
      </c>
      <c r="H10" s="484">
        <f>+F10-D10</f>
        <v>-41411995.239999995</v>
      </c>
    </row>
    <row r="11" spans="1:8" x14ac:dyDescent="0.25">
      <c r="A11" s="415">
        <v>6</v>
      </c>
      <c r="B11" s="199" t="s">
        <v>20</v>
      </c>
      <c r="C11" s="188" t="s">
        <v>179</v>
      </c>
      <c r="D11" s="22">
        <f>+INICIAL!E16</f>
        <v>82771668.400000006</v>
      </c>
      <c r="E11" s="22">
        <f>+AJUSTADO!E17</f>
        <v>83160204.600000009</v>
      </c>
      <c r="F11" s="416">
        <f t="shared" si="0"/>
        <v>83160204.600000009</v>
      </c>
      <c r="H11" s="484">
        <f t="shared" si="1"/>
        <v>388536.20000000298</v>
      </c>
    </row>
    <row r="12" spans="1:8" x14ac:dyDescent="0.25">
      <c r="A12" s="415">
        <v>8</v>
      </c>
      <c r="B12" s="199" t="s">
        <v>22</v>
      </c>
      <c r="C12" s="188" t="s">
        <v>23</v>
      </c>
      <c r="D12" s="22">
        <f>+INICIAL!E17</f>
        <v>450000</v>
      </c>
      <c r="E12" s="22">
        <f>+AJUSTADO!E18</f>
        <v>450000</v>
      </c>
      <c r="F12" s="416">
        <f t="shared" si="0"/>
        <v>450000</v>
      </c>
      <c r="H12" s="484">
        <f t="shared" si="1"/>
        <v>0</v>
      </c>
    </row>
    <row r="13" spans="1:8" x14ac:dyDescent="0.25">
      <c r="A13" s="415">
        <v>9</v>
      </c>
      <c r="B13" s="199" t="s">
        <v>24</v>
      </c>
      <c r="C13" s="188" t="s">
        <v>25</v>
      </c>
      <c r="D13" s="22">
        <f>+INICIAL!E18</f>
        <v>6246056.8700000001</v>
      </c>
      <c r="E13" s="22">
        <f>+AJUSTADO!E19</f>
        <v>6246056.8700000001</v>
      </c>
      <c r="F13" s="416">
        <f t="shared" si="0"/>
        <v>6246056.8700000001</v>
      </c>
      <c r="H13" s="484">
        <f t="shared" si="1"/>
        <v>0</v>
      </c>
    </row>
    <row r="14" spans="1:8" ht="15.75" thickBot="1" x14ac:dyDescent="0.3">
      <c r="A14" s="518" t="s">
        <v>26</v>
      </c>
      <c r="B14" s="519"/>
      <c r="C14" s="519"/>
      <c r="D14" s="418">
        <f>SUM(D6:D13)</f>
        <v>1581965974.51</v>
      </c>
      <c r="E14" s="419">
        <f>SUM(E6:E13)</f>
        <v>1703646141.4699998</v>
      </c>
      <c r="F14" s="420">
        <f>SUM(F6:F13)</f>
        <v>1703646141.4699998</v>
      </c>
      <c r="H14" s="484">
        <f>SUM(H6:H13)</f>
        <v>121680166.96000001</v>
      </c>
    </row>
    <row r="15" spans="1:8" x14ac:dyDescent="0.25">
      <c r="E15" s="10"/>
    </row>
    <row r="16" spans="1:8" ht="47.25" customHeight="1" x14ac:dyDescent="0.25">
      <c r="A16" s="648" t="s">
        <v>203</v>
      </c>
      <c r="B16" s="648"/>
      <c r="C16" s="648"/>
      <c r="D16" s="648"/>
      <c r="E16" s="648"/>
      <c r="F16" s="648"/>
      <c r="G16" s="648"/>
      <c r="H16" s="648"/>
    </row>
    <row r="17" spans="1:8" x14ac:dyDescent="0.25">
      <c r="E17" s="10"/>
    </row>
    <row r="18" spans="1:8" x14ac:dyDescent="0.25">
      <c r="E18" s="10"/>
    </row>
    <row r="19" spans="1:8" x14ac:dyDescent="0.25">
      <c r="E19" s="10"/>
    </row>
    <row r="20" spans="1:8" ht="15.75" thickBot="1" x14ac:dyDescent="0.3">
      <c r="D20" s="10"/>
      <c r="E20" s="19"/>
    </row>
    <row r="21" spans="1:8" ht="15" customHeight="1" x14ac:dyDescent="0.25">
      <c r="A21" s="520" t="s">
        <v>0</v>
      </c>
      <c r="B21" s="521"/>
      <c r="C21" s="521"/>
      <c r="D21" s="521"/>
      <c r="E21" s="521"/>
      <c r="F21" s="522"/>
    </row>
    <row r="22" spans="1:8" x14ac:dyDescent="0.25">
      <c r="A22" s="523"/>
      <c r="B22" s="524"/>
      <c r="C22" s="524"/>
      <c r="D22" s="524"/>
      <c r="E22" s="524"/>
      <c r="F22" s="525"/>
    </row>
    <row r="23" spans="1:8" ht="15.75" thickBot="1" x14ac:dyDescent="0.3">
      <c r="A23" s="526"/>
      <c r="B23" s="527"/>
      <c r="C23" s="527"/>
      <c r="D23" s="527"/>
      <c r="E23" s="527"/>
      <c r="F23" s="528"/>
    </row>
    <row r="24" spans="1:8" ht="30.6" customHeight="1" thickBot="1" x14ac:dyDescent="0.3">
      <c r="A24" s="513" t="s">
        <v>200</v>
      </c>
      <c r="B24" s="514"/>
      <c r="C24" s="514"/>
      <c r="D24" s="514"/>
      <c r="E24" s="514"/>
      <c r="F24" s="515"/>
    </row>
    <row r="25" spans="1:8" x14ac:dyDescent="0.25">
      <c r="A25" s="516" t="s">
        <v>1</v>
      </c>
      <c r="B25" s="517"/>
      <c r="C25" s="479" t="s">
        <v>2</v>
      </c>
      <c r="D25" s="412" t="s">
        <v>30</v>
      </c>
      <c r="E25" s="413" t="s">
        <v>31</v>
      </c>
      <c r="F25" s="414" t="s">
        <v>197</v>
      </c>
      <c r="H25" s="482" t="s">
        <v>199</v>
      </c>
    </row>
    <row r="26" spans="1:8" ht="30" customHeight="1" x14ac:dyDescent="0.25">
      <c r="A26" s="415">
        <v>1</v>
      </c>
      <c r="B26" s="196" t="s">
        <v>4</v>
      </c>
      <c r="C26" s="478" t="s">
        <v>5</v>
      </c>
      <c r="D26" s="22">
        <f>+D6</f>
        <v>83500302</v>
      </c>
      <c r="E26" s="22">
        <f>+E6</f>
        <v>83500302</v>
      </c>
      <c r="F26" s="416">
        <f>+MAX(D26,E26)</f>
        <v>83500302</v>
      </c>
      <c r="H26" s="484">
        <f>+F26-D26</f>
        <v>0</v>
      </c>
    </row>
    <row r="27" spans="1:8" ht="30" x14ac:dyDescent="0.25">
      <c r="A27" s="417">
        <v>2</v>
      </c>
      <c r="B27" s="197" t="s">
        <v>6</v>
      </c>
      <c r="C27" s="5" t="s">
        <v>29</v>
      </c>
      <c r="D27" s="22">
        <f>+D7</f>
        <v>1092404997</v>
      </c>
      <c r="E27" s="22">
        <f>+'PTO obra'!M163</f>
        <v>1202330845.168</v>
      </c>
      <c r="F27" s="416">
        <f t="shared" ref="F27:F29" si="2">+MAX(D27,E27)</f>
        <v>1202330845.168</v>
      </c>
      <c r="G27" s="8"/>
      <c r="H27" s="484">
        <f t="shared" ref="H27:H33" si="3">+F27-D27</f>
        <v>109925848.16799998</v>
      </c>
    </row>
    <row r="28" spans="1:8" ht="30" x14ac:dyDescent="0.25">
      <c r="A28" s="415">
        <v>3</v>
      </c>
      <c r="B28" s="198" t="s">
        <v>14</v>
      </c>
      <c r="C28" s="477" t="s">
        <v>15</v>
      </c>
      <c r="D28" s="22">
        <f>+D8</f>
        <v>120865920</v>
      </c>
      <c r="E28" s="22">
        <f>+INTERVENTORIA!P27</f>
        <v>188960100</v>
      </c>
      <c r="F28" s="416">
        <f t="shared" si="2"/>
        <v>188960100</v>
      </c>
      <c r="H28" s="484">
        <f t="shared" si="3"/>
        <v>68094180</v>
      </c>
    </row>
    <row r="29" spans="1:8" x14ac:dyDescent="0.25">
      <c r="A29" s="415">
        <v>4</v>
      </c>
      <c r="B29" s="198" t="s">
        <v>16</v>
      </c>
      <c r="C29" s="477" t="s">
        <v>17</v>
      </c>
      <c r="D29" s="22">
        <f>+D9</f>
        <v>90007435</v>
      </c>
      <c r="E29" s="22">
        <f>+GERENCIA!Q25</f>
        <v>172669000</v>
      </c>
      <c r="F29" s="416">
        <f t="shared" si="2"/>
        <v>172669000</v>
      </c>
      <c r="H29" s="484">
        <f t="shared" si="3"/>
        <v>82661565</v>
      </c>
    </row>
    <row r="30" spans="1:8" x14ac:dyDescent="0.25">
      <c r="A30" s="415">
        <v>5</v>
      </c>
      <c r="B30" s="199" t="s">
        <v>18</v>
      </c>
      <c r="C30" s="477" t="s">
        <v>19</v>
      </c>
      <c r="D30" s="22">
        <f>+D10</f>
        <v>105719595.23999999</v>
      </c>
      <c r="E30" s="22">
        <f>+FIDUCIA!J13</f>
        <v>64307600</v>
      </c>
      <c r="F30" s="416">
        <f>+E30</f>
        <v>64307600</v>
      </c>
      <c r="H30" s="484">
        <f t="shared" si="3"/>
        <v>-41411995.239999995</v>
      </c>
    </row>
    <row r="31" spans="1:8" x14ac:dyDescent="0.25">
      <c r="A31" s="415">
        <v>6</v>
      </c>
      <c r="B31" s="199" t="s">
        <v>20</v>
      </c>
      <c r="C31" s="477" t="s">
        <v>179</v>
      </c>
      <c r="D31" s="22">
        <f>+D11</f>
        <v>82771668.400000006</v>
      </c>
      <c r="E31" s="22">
        <f>+'PTO obra'!M155*0.1</f>
        <v>90642294.400000006</v>
      </c>
      <c r="F31" s="416">
        <f t="shared" ref="F31:F33" si="4">+MAX(D31,E31)</f>
        <v>90642294.400000006</v>
      </c>
      <c r="H31" s="484">
        <f t="shared" si="3"/>
        <v>7870626</v>
      </c>
    </row>
    <row r="32" spans="1:8" x14ac:dyDescent="0.25">
      <c r="A32" s="415">
        <v>8</v>
      </c>
      <c r="B32" s="199" t="s">
        <v>22</v>
      </c>
      <c r="C32" s="477" t="s">
        <v>23</v>
      </c>
      <c r="D32" s="22">
        <f>+D12</f>
        <v>450000</v>
      </c>
      <c r="E32" s="22">
        <f>+E12</f>
        <v>450000</v>
      </c>
      <c r="F32" s="416">
        <f t="shared" si="4"/>
        <v>450000</v>
      </c>
      <c r="H32" s="484">
        <f t="shared" si="3"/>
        <v>0</v>
      </c>
    </row>
    <row r="33" spans="1:8" x14ac:dyDescent="0.25">
      <c r="A33" s="415">
        <v>9</v>
      </c>
      <c r="B33" s="199" t="s">
        <v>24</v>
      </c>
      <c r="C33" s="477" t="s">
        <v>25</v>
      </c>
      <c r="D33" s="22">
        <f>+D13</f>
        <v>6246056.8700000001</v>
      </c>
      <c r="E33" s="22">
        <f>+E13</f>
        <v>6246056.8700000001</v>
      </c>
      <c r="F33" s="416">
        <f t="shared" si="4"/>
        <v>6246056.8700000001</v>
      </c>
      <c r="H33" s="484">
        <f t="shared" si="3"/>
        <v>0</v>
      </c>
    </row>
    <row r="34" spans="1:8" ht="15.75" thickBot="1" x14ac:dyDescent="0.3">
      <c r="A34" s="518" t="s">
        <v>26</v>
      </c>
      <c r="B34" s="519"/>
      <c r="C34" s="519"/>
      <c r="D34" s="418">
        <f>SUM(D26:D33)</f>
        <v>1581965974.51</v>
      </c>
      <c r="E34" s="419">
        <f>SUM(E26:E33)</f>
        <v>1809106198.438</v>
      </c>
      <c r="F34" s="420">
        <f>SUM(F26:F33)</f>
        <v>1809106198.438</v>
      </c>
      <c r="H34" s="484">
        <f>SUM(H26:H33)</f>
        <v>227140223.92799997</v>
      </c>
    </row>
    <row r="36" spans="1:8" ht="57.75" customHeight="1" x14ac:dyDescent="0.25">
      <c r="A36" s="648" t="s">
        <v>202</v>
      </c>
      <c r="B36" s="648"/>
      <c r="C36" s="648"/>
      <c r="D36" s="648"/>
      <c r="E36" s="648"/>
      <c r="F36" s="648"/>
      <c r="G36" s="648"/>
      <c r="H36" s="648"/>
    </row>
  </sheetData>
  <mergeCells count="10">
    <mergeCell ref="A36:H36"/>
    <mergeCell ref="A24:F24"/>
    <mergeCell ref="A25:B25"/>
    <mergeCell ref="A34:C34"/>
    <mergeCell ref="A1:F3"/>
    <mergeCell ref="A4:F4"/>
    <mergeCell ref="A14:C14"/>
    <mergeCell ref="A5:B5"/>
    <mergeCell ref="A21:F23"/>
    <mergeCell ref="A16:H16"/>
  </mergeCells>
  <pageMargins left="0.7" right="0.7" top="0.75" bottom="0.75" header="0.3" footer="0.3"/>
  <pageSetup paperSize="121" scale="92" orientation="landscape"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418DC-D3A1-4F71-878F-A5779C9FB596}">
  <sheetPr>
    <pageSetUpPr fitToPage="1"/>
  </sheetPr>
  <dimension ref="B1:W167"/>
  <sheetViews>
    <sheetView topLeftCell="A4" zoomScaleNormal="100" zoomScaleSheetLayoutView="90" zoomScalePageLayoutView="85" workbookViewId="0">
      <pane xSplit="5" ySplit="3" topLeftCell="I149" activePane="bottomRight" state="frozen"/>
      <selection activeCell="A4" sqref="A4"/>
      <selection pane="topRight" activeCell="F4" sqref="F4"/>
      <selection pane="bottomLeft" activeCell="A7" sqref="A7"/>
      <selection pane="bottomRight" activeCell="N144" sqref="N144"/>
    </sheetView>
  </sheetViews>
  <sheetFormatPr baseColWidth="10" defaultColWidth="11.42578125" defaultRowHeight="16.5" x14ac:dyDescent="0.25"/>
  <cols>
    <col min="1" max="1" width="4.42578125" style="23" customWidth="1"/>
    <col min="2" max="2" width="6.140625" style="23" customWidth="1"/>
    <col min="3" max="3" width="9.85546875" style="23" customWidth="1"/>
    <col min="4" max="4" width="58.140625" style="23" customWidth="1"/>
    <col min="5" max="5" width="9.5703125" style="23" customWidth="1"/>
    <col min="6" max="6" width="11.5703125" style="23" customWidth="1"/>
    <col min="7" max="7" width="11.28515625" style="23" bestFit="1" customWidth="1"/>
    <col min="8" max="8" width="14.7109375" style="23" bestFit="1" customWidth="1"/>
    <col min="9" max="9" width="12.42578125" style="23" customWidth="1"/>
    <col min="10" max="10" width="16" style="423" customWidth="1"/>
    <col min="11" max="11" width="18.85546875" style="423" customWidth="1"/>
    <col min="12" max="12" width="4.140625" style="23" customWidth="1"/>
    <col min="13" max="13" width="20.85546875" bestFit="1" customWidth="1"/>
    <col min="14" max="14" width="14.5703125" bestFit="1" customWidth="1"/>
    <col min="15" max="15" width="35.140625" customWidth="1"/>
    <col min="16" max="16" width="21.140625" customWidth="1"/>
    <col min="17" max="17" width="14.5703125" bestFit="1" customWidth="1"/>
    <col min="18" max="18" width="16.5703125" customWidth="1"/>
    <col min="20" max="20" width="17" bestFit="1" customWidth="1"/>
    <col min="24" max="16384" width="11.42578125" style="23"/>
  </cols>
  <sheetData>
    <row r="1" spans="2:13" ht="17.25" thickBot="1" x14ac:dyDescent="0.3"/>
    <row r="2" spans="2:13" x14ac:dyDescent="0.25">
      <c r="B2" s="530" t="s">
        <v>0</v>
      </c>
      <c r="C2" s="531"/>
      <c r="D2" s="531"/>
      <c r="E2" s="531"/>
      <c r="F2" s="531"/>
      <c r="G2" s="531"/>
      <c r="H2" s="531"/>
      <c r="I2" s="531"/>
      <c r="J2" s="531"/>
      <c r="K2" s="532"/>
    </row>
    <row r="3" spans="2:13" ht="42.75" customHeight="1" thickBot="1" x14ac:dyDescent="0.3">
      <c r="B3" s="533"/>
      <c r="C3" s="534"/>
      <c r="D3" s="534"/>
      <c r="E3" s="534"/>
      <c r="F3" s="534"/>
      <c r="G3" s="534"/>
      <c r="H3" s="534"/>
      <c r="I3" s="534"/>
      <c r="J3" s="534"/>
      <c r="K3" s="535"/>
    </row>
    <row r="4" spans="2:13" customFormat="1" ht="17.25" thickBot="1" x14ac:dyDescent="0.3">
      <c r="B4" s="538" t="s">
        <v>196</v>
      </c>
      <c r="C4" s="539"/>
      <c r="D4" s="539"/>
      <c r="E4" s="539"/>
      <c r="F4" s="539"/>
      <c r="G4" s="539"/>
      <c r="H4" s="539"/>
      <c r="I4" s="539"/>
      <c r="J4" s="539"/>
      <c r="K4" s="540"/>
      <c r="L4" s="23"/>
    </row>
    <row r="5" spans="2:13" customFormat="1" ht="30.75" thickBot="1" x14ac:dyDescent="0.3">
      <c r="B5" s="475"/>
      <c r="C5" s="476"/>
      <c r="D5" s="476"/>
      <c r="E5" s="476"/>
      <c r="F5" s="544" t="s">
        <v>30</v>
      </c>
      <c r="G5" s="545"/>
      <c r="H5" s="546"/>
      <c r="I5" s="541" t="s">
        <v>31</v>
      </c>
      <c r="J5" s="542"/>
      <c r="K5" s="543"/>
      <c r="L5" s="23"/>
      <c r="M5" s="485" t="s">
        <v>201</v>
      </c>
    </row>
    <row r="6" spans="2:13" customFormat="1" ht="33" x14ac:dyDescent="0.25">
      <c r="B6" s="24" t="s">
        <v>32</v>
      </c>
      <c r="C6" s="536" t="s">
        <v>33</v>
      </c>
      <c r="D6" s="536"/>
      <c r="E6" s="439" t="s">
        <v>34</v>
      </c>
      <c r="F6" s="443" t="s">
        <v>35</v>
      </c>
      <c r="G6" s="25" t="s">
        <v>36</v>
      </c>
      <c r="H6" s="26" t="s">
        <v>3</v>
      </c>
      <c r="I6" s="443" t="s">
        <v>35</v>
      </c>
      <c r="J6" s="427" t="s">
        <v>36</v>
      </c>
      <c r="K6" s="424" t="s">
        <v>3</v>
      </c>
      <c r="L6" s="23"/>
      <c r="M6" s="481" t="s">
        <v>3</v>
      </c>
    </row>
    <row r="7" spans="2:13" customFormat="1" ht="15" customHeight="1" thickBot="1" x14ac:dyDescent="0.3">
      <c r="B7" s="430" t="s">
        <v>37</v>
      </c>
      <c r="C7" s="431"/>
      <c r="D7" s="431"/>
      <c r="E7" s="431"/>
      <c r="F7" s="430"/>
      <c r="G7" s="431"/>
      <c r="H7" s="432"/>
      <c r="I7" s="430"/>
      <c r="J7" s="431"/>
      <c r="K7" s="432"/>
      <c r="L7" s="23"/>
      <c r="M7" s="482"/>
    </row>
    <row r="8" spans="2:13" customFormat="1" ht="33" customHeight="1" x14ac:dyDescent="0.25">
      <c r="B8" s="27">
        <v>1</v>
      </c>
      <c r="C8" s="537" t="s">
        <v>38</v>
      </c>
      <c r="D8" s="537"/>
      <c r="E8" s="440" t="s">
        <v>39</v>
      </c>
      <c r="F8" s="444">
        <v>1285.8900000000001</v>
      </c>
      <c r="G8" s="35">
        <v>14089.864864864865</v>
      </c>
      <c r="H8" s="445">
        <f t="shared" ref="H8:H32" si="0">ROUND((G8*F8),0)</f>
        <v>18118016</v>
      </c>
      <c r="I8" s="444">
        <f>[1]CANTIDADES!I28</f>
        <v>1285.8900000000001</v>
      </c>
      <c r="J8" s="35">
        <f>[1]APUS!H40</f>
        <v>13071.221490062557</v>
      </c>
      <c r="K8" s="445">
        <f t="shared" ref="K8:K25" si="1">ROUND((J8*I8),0)</f>
        <v>16808153</v>
      </c>
      <c r="L8" s="23"/>
      <c r="M8" s="483">
        <f>+MAX(K8,H8)</f>
        <v>18118016</v>
      </c>
    </row>
    <row r="9" spans="2:13" customFormat="1" ht="33" customHeight="1" x14ac:dyDescent="0.25">
      <c r="B9" s="29">
        <v>2</v>
      </c>
      <c r="C9" s="529" t="s">
        <v>40</v>
      </c>
      <c r="D9" s="529"/>
      <c r="E9" s="441" t="s">
        <v>41</v>
      </c>
      <c r="F9" s="444">
        <v>984.4</v>
      </c>
      <c r="G9" s="35">
        <v>25267</v>
      </c>
      <c r="H9" s="445">
        <f t="shared" si="0"/>
        <v>24872835</v>
      </c>
      <c r="I9" s="452">
        <f>[1]CANTIDADES!I58</f>
        <v>984.4</v>
      </c>
      <c r="J9" s="30">
        <f>[1]APUS!H88</f>
        <v>24723</v>
      </c>
      <c r="K9" s="456">
        <f t="shared" si="1"/>
        <v>24337321</v>
      </c>
      <c r="L9" s="23"/>
      <c r="M9" s="483">
        <f t="shared" ref="M9:M72" si="2">+MAX(K9,H9)</f>
        <v>24872835</v>
      </c>
    </row>
    <row r="10" spans="2:13" customFormat="1" ht="33" customHeight="1" x14ac:dyDescent="0.25">
      <c r="B10" s="29">
        <v>3</v>
      </c>
      <c r="C10" s="529" t="s">
        <v>42</v>
      </c>
      <c r="D10" s="529"/>
      <c r="E10" s="441" t="s">
        <v>41</v>
      </c>
      <c r="F10" s="444">
        <v>98.18</v>
      </c>
      <c r="G10" s="35">
        <v>61502</v>
      </c>
      <c r="H10" s="445">
        <f t="shared" si="0"/>
        <v>6038266</v>
      </c>
      <c r="I10" s="452">
        <f>[1]CANTIDADES!D56+[1]CANTIDADES!D39</f>
        <v>98.18</v>
      </c>
      <c r="J10" s="30">
        <f>[1]APUS!H135</f>
        <v>59066</v>
      </c>
      <c r="K10" s="456">
        <f t="shared" si="1"/>
        <v>5799100</v>
      </c>
      <c r="L10" s="23"/>
      <c r="M10" s="483">
        <f t="shared" si="2"/>
        <v>6038266</v>
      </c>
    </row>
    <row r="11" spans="2:13" customFormat="1" ht="31.5" customHeight="1" x14ac:dyDescent="0.25">
      <c r="B11" s="29">
        <v>4</v>
      </c>
      <c r="C11" s="529" t="s">
        <v>43</v>
      </c>
      <c r="D11" s="529"/>
      <c r="E11" s="441" t="s">
        <v>39</v>
      </c>
      <c r="F11" s="444">
        <v>1285.8900000000001</v>
      </c>
      <c r="G11" s="35">
        <v>102428.22222222222</v>
      </c>
      <c r="H11" s="445">
        <f t="shared" si="0"/>
        <v>131711427</v>
      </c>
      <c r="I11" s="452">
        <v>1285.8900000000001</v>
      </c>
      <c r="J11" s="30">
        <f>[1]APUS!H182</f>
        <v>91298.616971129333</v>
      </c>
      <c r="K11" s="456">
        <f>ROUND((J11*I11),0)</f>
        <v>117399979</v>
      </c>
      <c r="L11" s="23"/>
      <c r="M11" s="483">
        <f t="shared" si="2"/>
        <v>131711427</v>
      </c>
    </row>
    <row r="12" spans="2:13" customFormat="1" ht="21" customHeight="1" x14ac:dyDescent="0.25">
      <c r="B12" s="29">
        <v>5</v>
      </c>
      <c r="C12" s="529" t="s">
        <v>44</v>
      </c>
      <c r="D12" s="529"/>
      <c r="E12" s="441" t="s">
        <v>41</v>
      </c>
      <c r="F12" s="444">
        <v>121</v>
      </c>
      <c r="G12" s="35">
        <v>75345</v>
      </c>
      <c r="H12" s="445">
        <f t="shared" si="0"/>
        <v>9116745</v>
      </c>
      <c r="I12" s="452">
        <f>[1]CANTIDADES!I95</f>
        <v>121</v>
      </c>
      <c r="J12" s="30">
        <f>[1]APUS!H230</f>
        <v>74872.883300000001</v>
      </c>
      <c r="K12" s="456">
        <f t="shared" si="1"/>
        <v>9059619</v>
      </c>
      <c r="L12" s="23"/>
      <c r="M12" s="483">
        <f t="shared" si="2"/>
        <v>9116745</v>
      </c>
    </row>
    <row r="13" spans="2:13" customFormat="1" ht="21.75" customHeight="1" x14ac:dyDescent="0.25">
      <c r="B13" s="29">
        <v>6</v>
      </c>
      <c r="C13" s="529" t="s">
        <v>45</v>
      </c>
      <c r="D13" s="529"/>
      <c r="E13" s="441" t="s">
        <v>41</v>
      </c>
      <c r="F13" s="444">
        <v>8.17</v>
      </c>
      <c r="G13" s="35">
        <v>65173</v>
      </c>
      <c r="H13" s="445">
        <f t="shared" si="0"/>
        <v>532463</v>
      </c>
      <c r="I13" s="452">
        <f>[1]CANTIDADES!I104</f>
        <v>8.17</v>
      </c>
      <c r="J13" s="30">
        <f>[1]APUS!H278</f>
        <v>40022.4833</v>
      </c>
      <c r="K13" s="456">
        <f t="shared" si="1"/>
        <v>326984</v>
      </c>
      <c r="L13" s="23"/>
      <c r="M13" s="483">
        <f t="shared" si="2"/>
        <v>532463</v>
      </c>
    </row>
    <row r="14" spans="2:13" customFormat="1" ht="19.5" customHeight="1" x14ac:dyDescent="0.25">
      <c r="B14" s="29">
        <v>7</v>
      </c>
      <c r="C14" s="529" t="s">
        <v>46</v>
      </c>
      <c r="D14" s="529"/>
      <c r="E14" s="441" t="s">
        <v>41</v>
      </c>
      <c r="F14" s="444">
        <v>10.91</v>
      </c>
      <c r="G14" s="35">
        <v>63653.333333333336</v>
      </c>
      <c r="H14" s="445">
        <f t="shared" si="0"/>
        <v>694458</v>
      </c>
      <c r="I14" s="452">
        <f>[1]CANTIDADES!I113</f>
        <v>10.91</v>
      </c>
      <c r="J14" s="30">
        <f>[1]APUS!H326</f>
        <v>63246.588866666665</v>
      </c>
      <c r="K14" s="456">
        <f t="shared" si="1"/>
        <v>690020</v>
      </c>
      <c r="L14" s="23"/>
      <c r="M14" s="483">
        <f t="shared" si="2"/>
        <v>694458</v>
      </c>
    </row>
    <row r="15" spans="2:13" customFormat="1" ht="31.5" customHeight="1" x14ac:dyDescent="0.25">
      <c r="B15" s="29">
        <v>8</v>
      </c>
      <c r="C15" s="529" t="s">
        <v>47</v>
      </c>
      <c r="D15" s="529"/>
      <c r="E15" s="441" t="s">
        <v>41</v>
      </c>
      <c r="F15" s="444">
        <v>265.7</v>
      </c>
      <c r="G15" s="35">
        <v>58921.904761904756</v>
      </c>
      <c r="H15" s="445">
        <f t="shared" si="0"/>
        <v>15655550</v>
      </c>
      <c r="I15" s="452">
        <f>[1]CANTIDADES!I125</f>
        <v>265.7</v>
      </c>
      <c r="J15" s="30">
        <f>[1]APUS!H373</f>
        <v>63582.363706349206</v>
      </c>
      <c r="K15" s="456">
        <f t="shared" si="1"/>
        <v>16893834</v>
      </c>
      <c r="L15" s="23"/>
      <c r="M15" s="483">
        <f t="shared" si="2"/>
        <v>16893834</v>
      </c>
    </row>
    <row r="16" spans="2:13" customFormat="1" ht="33" customHeight="1" x14ac:dyDescent="0.25">
      <c r="B16" s="29">
        <v>9</v>
      </c>
      <c r="C16" s="529" t="s">
        <v>48</v>
      </c>
      <c r="D16" s="529"/>
      <c r="E16" s="441" t="s">
        <v>41</v>
      </c>
      <c r="F16" s="444">
        <v>17.5</v>
      </c>
      <c r="G16" s="35">
        <v>48840.53333333334</v>
      </c>
      <c r="H16" s="445">
        <f t="shared" si="0"/>
        <v>854709</v>
      </c>
      <c r="I16" s="452">
        <f>+'[1]CANTIDADES HIDROSANITARIO'!B16</f>
        <v>17.5</v>
      </c>
      <c r="J16" s="30">
        <f>[1]APUS!H420</f>
        <v>40926.078672222218</v>
      </c>
      <c r="K16" s="456">
        <f t="shared" si="1"/>
        <v>716206</v>
      </c>
      <c r="L16" s="23"/>
      <c r="M16" s="483">
        <f t="shared" si="2"/>
        <v>854709</v>
      </c>
    </row>
    <row r="17" spans="2:14" customFormat="1" ht="16.5" customHeight="1" x14ac:dyDescent="0.25">
      <c r="B17" s="29">
        <v>10</v>
      </c>
      <c r="C17" s="529" t="s">
        <v>49</v>
      </c>
      <c r="D17" s="529"/>
      <c r="E17" s="441" t="s">
        <v>41</v>
      </c>
      <c r="F17" s="444">
        <v>87.5</v>
      </c>
      <c r="G17" s="35">
        <v>43201.533333333333</v>
      </c>
      <c r="H17" s="445">
        <f t="shared" si="0"/>
        <v>3780134</v>
      </c>
      <c r="I17" s="452">
        <f>+'[1]CANTIDADES HIDROSANITARIO'!B15</f>
        <v>87.5</v>
      </c>
      <c r="J17" s="30">
        <f>+[1]APUS!H464</f>
        <v>32566.878672222225</v>
      </c>
      <c r="K17" s="456">
        <f t="shared" si="1"/>
        <v>2849602</v>
      </c>
      <c r="L17" s="23"/>
      <c r="M17" s="483">
        <f t="shared" si="2"/>
        <v>3780134</v>
      </c>
    </row>
    <row r="18" spans="2:14" customFormat="1" ht="32.25" customHeight="1" x14ac:dyDescent="0.25">
      <c r="B18" s="29">
        <v>11</v>
      </c>
      <c r="C18" s="529" t="s">
        <v>50</v>
      </c>
      <c r="D18" s="529"/>
      <c r="E18" s="441" t="s">
        <v>51</v>
      </c>
      <c r="F18" s="444">
        <v>1948</v>
      </c>
      <c r="G18" s="35">
        <v>21227.8125</v>
      </c>
      <c r="H18" s="445">
        <f t="shared" si="0"/>
        <v>41351779</v>
      </c>
      <c r="I18" s="452">
        <f>+ROUND((I8/2.64)*4,0)</f>
        <v>1948</v>
      </c>
      <c r="J18" s="30">
        <f>[1]APUS!H511</f>
        <v>21861.074502083335</v>
      </c>
      <c r="K18" s="456">
        <f t="shared" si="1"/>
        <v>42585373</v>
      </c>
      <c r="L18" s="23"/>
      <c r="M18" s="483">
        <f t="shared" si="2"/>
        <v>42585373</v>
      </c>
    </row>
    <row r="19" spans="2:14" customFormat="1" ht="33" customHeight="1" x14ac:dyDescent="0.25">
      <c r="B19" s="29">
        <v>12</v>
      </c>
      <c r="C19" s="529" t="s">
        <v>52</v>
      </c>
      <c r="D19" s="529"/>
      <c r="E19" s="441" t="s">
        <v>51</v>
      </c>
      <c r="F19" s="444">
        <v>16</v>
      </c>
      <c r="G19" s="35">
        <v>458918.57</v>
      </c>
      <c r="H19" s="445">
        <f t="shared" si="0"/>
        <v>7342697</v>
      </c>
      <c r="I19" s="452">
        <f>+'[1]CANTIDADES HIDROSANITARIO'!B18</f>
        <v>16</v>
      </c>
      <c r="J19" s="30">
        <f>[1]APUS!H554</f>
        <v>346631.86067616666</v>
      </c>
      <c r="K19" s="456">
        <f t="shared" si="1"/>
        <v>5546110</v>
      </c>
      <c r="L19" s="23"/>
      <c r="M19" s="483">
        <f t="shared" si="2"/>
        <v>7342697</v>
      </c>
    </row>
    <row r="20" spans="2:14" customFormat="1" ht="16.5" customHeight="1" x14ac:dyDescent="0.25">
      <c r="B20" s="29">
        <v>13</v>
      </c>
      <c r="C20" s="529" t="s">
        <v>53</v>
      </c>
      <c r="D20" s="529"/>
      <c r="E20" s="441" t="s">
        <v>41</v>
      </c>
      <c r="F20" s="444">
        <v>65.7</v>
      </c>
      <c r="G20" s="35">
        <v>43872.366666666669</v>
      </c>
      <c r="H20" s="445">
        <f t="shared" si="0"/>
        <v>2882414</v>
      </c>
      <c r="I20" s="452">
        <f>+'[1]CANTIDADES HIDROSANITARIO'!B5+'[1]CANTIDADES HIDROSANITARIO'!B24</f>
        <v>48.600000000000009</v>
      </c>
      <c r="J20" s="30">
        <f>+[1]APUS!$H$598</f>
        <v>34500.618008333331</v>
      </c>
      <c r="K20" s="456">
        <f t="shared" si="1"/>
        <v>1676730</v>
      </c>
      <c r="L20" s="23"/>
      <c r="M20" s="483">
        <f t="shared" si="2"/>
        <v>2882414</v>
      </c>
    </row>
    <row r="21" spans="2:14" customFormat="1" ht="33" customHeight="1" x14ac:dyDescent="0.25">
      <c r="B21" s="29">
        <v>14</v>
      </c>
      <c r="C21" s="529" t="s">
        <v>54</v>
      </c>
      <c r="D21" s="529"/>
      <c r="E21" s="441" t="s">
        <v>41</v>
      </c>
      <c r="F21" s="444">
        <v>57.449999999999996</v>
      </c>
      <c r="G21" s="35">
        <v>60381.366666666669</v>
      </c>
      <c r="H21" s="445">
        <f t="shared" si="0"/>
        <v>3468910</v>
      </c>
      <c r="I21" s="452">
        <f>+'[1]CANTIDADES HIDROSANITARIO'!B6+'[1]CANTIDADES HIDROSANITARIO'!B25</f>
        <v>59.249999999999993</v>
      </c>
      <c r="J21" s="30">
        <f>+[1]APUS!$H$640</f>
        <v>42507.018008333325</v>
      </c>
      <c r="K21" s="456">
        <f t="shared" si="1"/>
        <v>2518541</v>
      </c>
      <c r="L21" s="23"/>
      <c r="M21" s="483">
        <f t="shared" si="2"/>
        <v>3468910</v>
      </c>
    </row>
    <row r="22" spans="2:14" customFormat="1" ht="33" customHeight="1" x14ac:dyDescent="0.25">
      <c r="B22" s="29">
        <v>15</v>
      </c>
      <c r="C22" s="529" t="s">
        <v>55</v>
      </c>
      <c r="D22" s="529"/>
      <c r="E22" s="441" t="s">
        <v>41</v>
      </c>
      <c r="F22" s="444">
        <v>53.649999999999991</v>
      </c>
      <c r="G22" s="35">
        <v>79905.866666666669</v>
      </c>
      <c r="H22" s="445">
        <f t="shared" si="0"/>
        <v>4286950</v>
      </c>
      <c r="I22" s="452">
        <f>+'[1]CANTIDADES HIDROSANITARIO'!B7+'[1]CANTIDADES HIDROSANITARIO'!B26</f>
        <v>53.649999999999991</v>
      </c>
      <c r="J22" s="30">
        <f>+[1]APUS!H685</f>
        <v>63918.575564814819</v>
      </c>
      <c r="K22" s="456">
        <f t="shared" si="1"/>
        <v>3429232</v>
      </c>
      <c r="L22" s="23"/>
      <c r="M22" s="483">
        <f t="shared" si="2"/>
        <v>4286950</v>
      </c>
    </row>
    <row r="23" spans="2:14" customFormat="1" ht="33" customHeight="1" x14ac:dyDescent="0.25">
      <c r="B23" s="29">
        <v>16</v>
      </c>
      <c r="C23" s="529" t="s">
        <v>56</v>
      </c>
      <c r="D23" s="529"/>
      <c r="E23" s="441" t="s">
        <v>41</v>
      </c>
      <c r="F23" s="444">
        <v>35.200000000000003</v>
      </c>
      <c r="G23" s="35">
        <v>94332.866666666669</v>
      </c>
      <c r="H23" s="445">
        <f t="shared" si="0"/>
        <v>3320517</v>
      </c>
      <c r="I23" s="452">
        <f>+'[1]CANTIDADES HIDROSANITARIO'!B8+'[1]CANTIDADES HIDROSANITARIO'!B27</f>
        <v>35.200000000000003</v>
      </c>
      <c r="J23" s="30">
        <f>+[1]APUS!$H$726</f>
        <v>85814.354043859654</v>
      </c>
      <c r="K23" s="456">
        <f t="shared" si="1"/>
        <v>3020665</v>
      </c>
      <c r="L23" s="23"/>
      <c r="M23" s="483">
        <f t="shared" si="2"/>
        <v>3320517</v>
      </c>
    </row>
    <row r="24" spans="2:14" customFormat="1" ht="33" customHeight="1" x14ac:dyDescent="0.25">
      <c r="B24" s="29">
        <v>17</v>
      </c>
      <c r="C24" s="529" t="s">
        <v>57</v>
      </c>
      <c r="D24" s="529"/>
      <c r="E24" s="441" t="s">
        <v>58</v>
      </c>
      <c r="F24" s="444">
        <v>125.12000000000002</v>
      </c>
      <c r="G24" s="35">
        <v>33022.5</v>
      </c>
      <c r="H24" s="445">
        <f t="shared" si="0"/>
        <v>4131775</v>
      </c>
      <c r="I24" s="452">
        <f>I19*0.8*0.5+(+SUM('[1]CANTIDADES HIDROSANITARIO'!B24:B27,'[1]CANTIDADES HIDROSANITARIO'!B5:B8)*0.8*0.7)</f>
        <v>116.55200000000001</v>
      </c>
      <c r="J24" s="30">
        <f>+[1]APUS!$H$769</f>
        <v>26403.487424999999</v>
      </c>
      <c r="K24" s="456">
        <f t="shared" si="1"/>
        <v>3077379</v>
      </c>
      <c r="L24" s="23"/>
      <c r="M24" s="483">
        <f t="shared" si="2"/>
        <v>4131775</v>
      </c>
    </row>
    <row r="25" spans="2:14" customFormat="1" ht="16.5" customHeight="1" x14ac:dyDescent="0.25">
      <c r="B25" s="29">
        <v>18</v>
      </c>
      <c r="C25" s="529" t="s">
        <v>59</v>
      </c>
      <c r="D25" s="529"/>
      <c r="E25" s="441" t="s">
        <v>58</v>
      </c>
      <c r="F25" s="444">
        <v>162.65600000000003</v>
      </c>
      <c r="G25" s="35">
        <v>22015</v>
      </c>
      <c r="H25" s="445">
        <f t="shared" si="0"/>
        <v>3580872</v>
      </c>
      <c r="I25" s="452">
        <f>+I24*1.3</f>
        <v>151.51760000000002</v>
      </c>
      <c r="J25" s="30">
        <f>[1]APUS!H811</f>
        <v>19558.138833333331</v>
      </c>
      <c r="K25" s="456">
        <f t="shared" si="1"/>
        <v>2963402</v>
      </c>
      <c r="L25" s="23"/>
      <c r="M25" s="483">
        <f t="shared" si="2"/>
        <v>3580872</v>
      </c>
    </row>
    <row r="26" spans="2:14" customFormat="1" ht="33" customHeight="1" x14ac:dyDescent="0.25">
      <c r="B26" s="29"/>
      <c r="C26" s="548" t="s">
        <v>60</v>
      </c>
      <c r="D26" s="548"/>
      <c r="E26" s="441"/>
      <c r="F26" s="444"/>
      <c r="G26" s="35"/>
      <c r="H26" s="446">
        <f>SUM(H8:H25)</f>
        <v>281740517</v>
      </c>
      <c r="I26" s="547" t="s">
        <v>60</v>
      </c>
      <c r="J26" s="548"/>
      <c r="K26" s="446">
        <f>SUM(K8:K25)</f>
        <v>259698250</v>
      </c>
      <c r="L26" s="23"/>
      <c r="M26" s="483"/>
      <c r="N26" s="422">
        <f>SUM(M8:M25)</f>
        <v>284212395</v>
      </c>
    </row>
    <row r="27" spans="2:14" customFormat="1" ht="18" customHeight="1" x14ac:dyDescent="0.25">
      <c r="B27" s="29"/>
      <c r="C27" s="549" t="s">
        <v>180</v>
      </c>
      <c r="D27" s="549"/>
      <c r="E27" s="441"/>
      <c r="F27" s="444"/>
      <c r="G27" s="35"/>
      <c r="H27" s="445">
        <f t="shared" si="0"/>
        <v>0</v>
      </c>
      <c r="I27" s="547"/>
      <c r="J27" s="548"/>
      <c r="K27" s="446"/>
      <c r="L27" s="23"/>
      <c r="M27" s="483">
        <f t="shared" si="2"/>
        <v>0</v>
      </c>
    </row>
    <row r="28" spans="2:14" customFormat="1" x14ac:dyDescent="0.25">
      <c r="B28" s="29" t="s">
        <v>181</v>
      </c>
      <c r="C28" s="529" t="s">
        <v>182</v>
      </c>
      <c r="D28" s="529"/>
      <c r="E28" s="441" t="s">
        <v>41</v>
      </c>
      <c r="F28" s="444"/>
      <c r="G28" s="35"/>
      <c r="H28" s="445">
        <f t="shared" si="0"/>
        <v>0</v>
      </c>
      <c r="I28" s="452">
        <f>+'[1]CANTIDADES HIDROSANITARIO'!B9</f>
        <v>143.05000000000001</v>
      </c>
      <c r="J28" s="30">
        <f>+[1]APUS!H893</f>
        <v>5752.3937745098037</v>
      </c>
      <c r="K28" s="456">
        <f t="shared" ref="K28:K32" si="3">ROUND((J28*I28),0)</f>
        <v>822880</v>
      </c>
      <c r="L28" s="23"/>
      <c r="M28" s="483">
        <f t="shared" si="2"/>
        <v>822880</v>
      </c>
    </row>
    <row r="29" spans="2:14" customFormat="1" ht="16.5" customHeight="1" x14ac:dyDescent="0.25">
      <c r="B29" s="29" t="s">
        <v>183</v>
      </c>
      <c r="C29" s="529" t="s">
        <v>184</v>
      </c>
      <c r="D29" s="529"/>
      <c r="E29" s="441" t="s">
        <v>41</v>
      </c>
      <c r="F29" s="444"/>
      <c r="G29" s="35"/>
      <c r="H29" s="445">
        <f t="shared" si="0"/>
        <v>0</v>
      </c>
      <c r="I29" s="452">
        <f>+I28</f>
        <v>143.05000000000001</v>
      </c>
      <c r="J29" s="30">
        <f>+[1]APUS!H939</f>
        <v>60567.673541666663</v>
      </c>
      <c r="K29" s="456">
        <f t="shared" si="3"/>
        <v>8664206</v>
      </c>
      <c r="L29" s="23"/>
      <c r="M29" s="483">
        <f t="shared" si="2"/>
        <v>8664206</v>
      </c>
    </row>
    <row r="30" spans="2:14" customFormat="1" ht="33" customHeight="1" x14ac:dyDescent="0.25">
      <c r="B30" s="29" t="s">
        <v>185</v>
      </c>
      <c r="C30" s="529" t="s">
        <v>186</v>
      </c>
      <c r="D30" s="529"/>
      <c r="E30" s="441" t="s">
        <v>39</v>
      </c>
      <c r="F30" s="444"/>
      <c r="G30" s="35"/>
      <c r="H30" s="445">
        <f t="shared" si="0"/>
        <v>0</v>
      </c>
      <c r="I30" s="452">
        <f>+I8</f>
        <v>1285.8900000000001</v>
      </c>
      <c r="J30" s="30">
        <f>+[1]APUS!H980</f>
        <v>3414.0454137476459</v>
      </c>
      <c r="K30" s="456">
        <f t="shared" si="3"/>
        <v>4390087</v>
      </c>
      <c r="L30" s="23"/>
      <c r="M30" s="483">
        <f t="shared" si="2"/>
        <v>4390087</v>
      </c>
    </row>
    <row r="31" spans="2:14" customFormat="1" ht="33" customHeight="1" x14ac:dyDescent="0.25">
      <c r="B31" s="29" t="s">
        <v>187</v>
      </c>
      <c r="C31" s="529" t="s">
        <v>188</v>
      </c>
      <c r="D31" s="529"/>
      <c r="E31" s="441" t="s">
        <v>189</v>
      </c>
      <c r="F31" s="444"/>
      <c r="G31" s="35"/>
      <c r="H31" s="445">
        <f t="shared" si="0"/>
        <v>0</v>
      </c>
      <c r="I31" s="452">
        <f>+[1]CANTIDADES!D446</f>
        <v>0.38025339925834362</v>
      </c>
      <c r="J31" s="30">
        <f>+[1]APUS!H1022</f>
        <v>29337208.25</v>
      </c>
      <c r="K31" s="456">
        <f t="shared" si="3"/>
        <v>11155573</v>
      </c>
      <c r="L31" s="23"/>
      <c r="M31" s="483">
        <f t="shared" si="2"/>
        <v>11155573</v>
      </c>
    </row>
    <row r="32" spans="2:14" customFormat="1" ht="31.5" customHeight="1" x14ac:dyDescent="0.25">
      <c r="B32" s="29" t="s">
        <v>190</v>
      </c>
      <c r="C32" s="529" t="s">
        <v>191</v>
      </c>
      <c r="D32" s="529"/>
      <c r="E32" s="441" t="s">
        <v>58</v>
      </c>
      <c r="F32" s="444"/>
      <c r="G32" s="35"/>
      <c r="H32" s="445">
        <f t="shared" si="0"/>
        <v>0</v>
      </c>
      <c r="I32" s="452">
        <f>+'[1]CANTIDADES HIDROSANITARIO'!D52</f>
        <v>53.403432686321629</v>
      </c>
      <c r="J32" s="30">
        <f>+[1]APUS!H1063</f>
        <v>29423.255533333333</v>
      </c>
      <c r="K32" s="456">
        <f t="shared" si="3"/>
        <v>1571303</v>
      </c>
      <c r="L32" s="23"/>
      <c r="M32" s="483">
        <f t="shared" si="2"/>
        <v>1571303</v>
      </c>
    </row>
    <row r="33" spans="2:13" customFormat="1" ht="18" customHeight="1" x14ac:dyDescent="0.25">
      <c r="B33" s="29"/>
      <c r="C33" s="548" t="s">
        <v>192</v>
      </c>
      <c r="D33" s="548"/>
      <c r="E33" s="441"/>
      <c r="F33" s="447"/>
      <c r="G33" s="421"/>
      <c r="H33" s="446">
        <f>SUM(H28:H32)</f>
        <v>0</v>
      </c>
      <c r="I33" s="547" t="s">
        <v>192</v>
      </c>
      <c r="J33" s="548"/>
      <c r="K33" s="446">
        <f>SUM(K28:K32)</f>
        <v>26604049</v>
      </c>
      <c r="L33" s="23"/>
      <c r="M33" s="483"/>
    </row>
    <row r="34" spans="2:13" ht="18" customHeight="1" x14ac:dyDescent="0.25">
      <c r="B34" s="29"/>
      <c r="C34" s="548" t="s">
        <v>193</v>
      </c>
      <c r="D34" s="548"/>
      <c r="E34" s="441"/>
      <c r="F34" s="447"/>
      <c r="G34" s="421"/>
      <c r="H34" s="446">
        <f>+H33+H26</f>
        <v>281740517</v>
      </c>
      <c r="I34" s="547" t="s">
        <v>193</v>
      </c>
      <c r="J34" s="548"/>
      <c r="K34" s="446">
        <f>+K33+K26</f>
        <v>286302299</v>
      </c>
      <c r="M34" s="483"/>
    </row>
    <row r="35" spans="2:13" customFormat="1" ht="18" customHeight="1" thickBot="1" x14ac:dyDescent="0.3">
      <c r="F35" s="227"/>
      <c r="G35" s="448"/>
      <c r="H35" s="449"/>
      <c r="I35" s="227"/>
      <c r="J35" s="448"/>
      <c r="K35" s="449"/>
      <c r="M35" s="483">
        <f t="shared" si="2"/>
        <v>0</v>
      </c>
    </row>
    <row r="36" spans="2:13" ht="19.5" customHeight="1" thickBot="1" x14ac:dyDescent="0.3">
      <c r="B36" s="433" t="s">
        <v>61</v>
      </c>
      <c r="C36" s="434"/>
      <c r="D36" s="434"/>
      <c r="E36" s="434"/>
      <c r="F36" s="433"/>
      <c r="G36" s="434"/>
      <c r="H36" s="435"/>
      <c r="I36" s="433"/>
      <c r="J36" s="434"/>
      <c r="K36" s="435"/>
      <c r="M36" s="483">
        <f t="shared" si="2"/>
        <v>0</v>
      </c>
    </row>
    <row r="37" spans="2:13" ht="33" customHeight="1" x14ac:dyDescent="0.25">
      <c r="B37" s="27">
        <v>1</v>
      </c>
      <c r="C37" s="537" t="s">
        <v>62</v>
      </c>
      <c r="D37" s="537"/>
      <c r="E37" s="440" t="s">
        <v>39</v>
      </c>
      <c r="F37" s="444">
        <v>871.45884999999998</v>
      </c>
      <c r="G37" s="28">
        <v>14089.864864864865</v>
      </c>
      <c r="H37" s="445">
        <f t="shared" ref="H37:H61" si="4">ROUND((G37*F37),0)</f>
        <v>12278737</v>
      </c>
      <c r="I37" s="444">
        <f>+[1]CANTIDADES!$I$353</f>
        <v>871.45884999999998</v>
      </c>
      <c r="J37" s="35">
        <f t="shared" ref="J37:J54" si="5">J8</f>
        <v>13071.221490062557</v>
      </c>
      <c r="K37" s="445">
        <f t="shared" ref="K37:K54" si="6">ROUND((J37*I37),0)</f>
        <v>11391032</v>
      </c>
      <c r="M37" s="483">
        <f t="shared" si="2"/>
        <v>12278737</v>
      </c>
    </row>
    <row r="38" spans="2:13" ht="32.25" customHeight="1" x14ac:dyDescent="0.25">
      <c r="B38" s="29">
        <v>2</v>
      </c>
      <c r="C38" s="529" t="s">
        <v>40</v>
      </c>
      <c r="D38" s="529"/>
      <c r="E38" s="441" t="s">
        <v>41</v>
      </c>
      <c r="F38" s="444">
        <v>542.12</v>
      </c>
      <c r="G38" s="28">
        <v>25267</v>
      </c>
      <c r="H38" s="445">
        <f t="shared" si="4"/>
        <v>13697746</v>
      </c>
      <c r="I38" s="452">
        <f>+[1]CANTIDADES!$I$443</f>
        <v>542.12</v>
      </c>
      <c r="J38" s="35">
        <f t="shared" si="5"/>
        <v>24723</v>
      </c>
      <c r="K38" s="456">
        <f t="shared" si="6"/>
        <v>13402833</v>
      </c>
      <c r="M38" s="483">
        <f t="shared" si="2"/>
        <v>13697746</v>
      </c>
    </row>
    <row r="39" spans="2:13" ht="32.25" customHeight="1" x14ac:dyDescent="0.25">
      <c r="B39" s="29">
        <v>3</v>
      </c>
      <c r="C39" s="529" t="s">
        <v>42</v>
      </c>
      <c r="D39" s="529"/>
      <c r="E39" s="441" t="s">
        <v>41</v>
      </c>
      <c r="F39" s="444">
        <v>57</v>
      </c>
      <c r="G39" s="28">
        <v>61502</v>
      </c>
      <c r="H39" s="445">
        <f t="shared" si="4"/>
        <v>3505614</v>
      </c>
      <c r="I39" s="452">
        <v>57</v>
      </c>
      <c r="J39" s="35">
        <f t="shared" si="5"/>
        <v>59066</v>
      </c>
      <c r="K39" s="456">
        <f t="shared" si="6"/>
        <v>3366762</v>
      </c>
      <c r="M39" s="483">
        <f t="shared" si="2"/>
        <v>3505614</v>
      </c>
    </row>
    <row r="40" spans="2:13" ht="31.5" customHeight="1" x14ac:dyDescent="0.25">
      <c r="B40" s="29">
        <v>4</v>
      </c>
      <c r="C40" s="529" t="s">
        <v>43</v>
      </c>
      <c r="D40" s="529"/>
      <c r="E40" s="441" t="s">
        <v>39</v>
      </c>
      <c r="F40" s="444">
        <v>871.45884999999998</v>
      </c>
      <c r="G40" s="28">
        <v>102428.22222222222</v>
      </c>
      <c r="H40" s="445">
        <f t="shared" si="4"/>
        <v>89261981</v>
      </c>
      <c r="I40" s="452">
        <f>+[1]CANTIDADES!$I$373</f>
        <v>871.45884999999998</v>
      </c>
      <c r="J40" s="35">
        <f t="shared" si="5"/>
        <v>91298.616971129333</v>
      </c>
      <c r="K40" s="456">
        <f t="shared" si="6"/>
        <v>79562988</v>
      </c>
      <c r="M40" s="483">
        <f t="shared" si="2"/>
        <v>89261981</v>
      </c>
    </row>
    <row r="41" spans="2:13" ht="21" customHeight="1" x14ac:dyDescent="0.25">
      <c r="B41" s="29">
        <v>5</v>
      </c>
      <c r="C41" s="529" t="s">
        <v>44</v>
      </c>
      <c r="D41" s="529"/>
      <c r="E41" s="441" t="s">
        <v>41</v>
      </c>
      <c r="F41" s="444">
        <v>74.73</v>
      </c>
      <c r="G41" s="28">
        <v>75345</v>
      </c>
      <c r="H41" s="445">
        <f t="shared" si="4"/>
        <v>5630532</v>
      </c>
      <c r="I41" s="452">
        <f>+[1]CANTIDADES!$I$393</f>
        <v>74.73</v>
      </c>
      <c r="J41" s="35">
        <f t="shared" si="5"/>
        <v>74872.883300000001</v>
      </c>
      <c r="K41" s="456">
        <f t="shared" si="6"/>
        <v>5595251</v>
      </c>
      <c r="M41" s="483">
        <f t="shared" si="2"/>
        <v>5630532</v>
      </c>
    </row>
    <row r="42" spans="2:13" ht="33" customHeight="1" x14ac:dyDescent="0.25">
      <c r="B42" s="29">
        <v>6</v>
      </c>
      <c r="C42" s="529" t="s">
        <v>45</v>
      </c>
      <c r="D42" s="529"/>
      <c r="E42" s="441" t="s">
        <v>41</v>
      </c>
      <c r="F42" s="444">
        <v>18.71</v>
      </c>
      <c r="G42" s="28">
        <v>65173</v>
      </c>
      <c r="H42" s="445">
        <f t="shared" si="4"/>
        <v>1219387</v>
      </c>
      <c r="I42" s="452">
        <f>+[1]CANTIDADES!$I$403</f>
        <v>18.71</v>
      </c>
      <c r="J42" s="35">
        <f t="shared" si="5"/>
        <v>40022.4833</v>
      </c>
      <c r="K42" s="456">
        <f t="shared" si="6"/>
        <v>748821</v>
      </c>
      <c r="M42" s="483">
        <f t="shared" si="2"/>
        <v>1219387</v>
      </c>
    </row>
    <row r="43" spans="2:13" ht="33" customHeight="1" x14ac:dyDescent="0.25">
      <c r="B43" s="29">
        <v>7</v>
      </c>
      <c r="C43" s="529" t="s">
        <v>46</v>
      </c>
      <c r="D43" s="529"/>
      <c r="E43" s="441" t="s">
        <v>41</v>
      </c>
      <c r="F43" s="444">
        <v>0</v>
      </c>
      <c r="G43" s="28">
        <v>63653.333333333336</v>
      </c>
      <c r="H43" s="445">
        <f t="shared" si="4"/>
        <v>0</v>
      </c>
      <c r="I43" s="452">
        <v>0</v>
      </c>
      <c r="J43" s="35">
        <f t="shared" si="5"/>
        <v>63246.588866666665</v>
      </c>
      <c r="K43" s="456">
        <f t="shared" si="6"/>
        <v>0</v>
      </c>
      <c r="M43" s="483">
        <f t="shared" si="2"/>
        <v>0</v>
      </c>
    </row>
    <row r="44" spans="2:13" ht="33" customHeight="1" x14ac:dyDescent="0.25">
      <c r="B44" s="29">
        <v>8</v>
      </c>
      <c r="C44" s="529" t="s">
        <v>47</v>
      </c>
      <c r="D44" s="529"/>
      <c r="E44" s="441" t="s">
        <v>41</v>
      </c>
      <c r="F44" s="444">
        <v>192.3</v>
      </c>
      <c r="G44" s="28">
        <v>58921.904761904756</v>
      </c>
      <c r="H44" s="445">
        <f t="shared" si="4"/>
        <v>11330682</v>
      </c>
      <c r="I44" s="452">
        <f>+[1]CANTIDADES!$I$423</f>
        <v>192.3</v>
      </c>
      <c r="J44" s="35">
        <f t="shared" si="5"/>
        <v>63582.363706349206</v>
      </c>
      <c r="K44" s="456">
        <f t="shared" si="6"/>
        <v>12226889</v>
      </c>
      <c r="M44" s="483">
        <f t="shared" si="2"/>
        <v>12226889</v>
      </c>
    </row>
    <row r="45" spans="2:13" ht="33" customHeight="1" x14ac:dyDescent="0.25">
      <c r="B45" s="29">
        <v>9</v>
      </c>
      <c r="C45" s="529" t="s">
        <v>48</v>
      </c>
      <c r="D45" s="529"/>
      <c r="E45" s="441" t="s">
        <v>41</v>
      </c>
      <c r="F45" s="444">
        <v>0</v>
      </c>
      <c r="G45" s="28">
        <v>48840.53333333334</v>
      </c>
      <c r="H45" s="445">
        <f t="shared" si="4"/>
        <v>0</v>
      </c>
      <c r="I45" s="452">
        <f>+'[1]CANTIDADES HIDROSANITARIO'!$F$16</f>
        <v>0</v>
      </c>
      <c r="J45" s="35">
        <f t="shared" si="5"/>
        <v>40926.078672222218</v>
      </c>
      <c r="K45" s="456">
        <f t="shared" si="6"/>
        <v>0</v>
      </c>
      <c r="M45" s="483">
        <f t="shared" si="2"/>
        <v>0</v>
      </c>
    </row>
    <row r="46" spans="2:13" ht="16.5" customHeight="1" x14ac:dyDescent="0.25">
      <c r="B46" s="29">
        <v>10</v>
      </c>
      <c r="C46" s="529" t="s">
        <v>49</v>
      </c>
      <c r="D46" s="529"/>
      <c r="E46" s="441" t="s">
        <v>41</v>
      </c>
      <c r="F46" s="444">
        <v>77</v>
      </c>
      <c r="G46" s="28">
        <v>43201.533333333333</v>
      </c>
      <c r="H46" s="445">
        <f t="shared" si="4"/>
        <v>3326518</v>
      </c>
      <c r="I46" s="452">
        <f>+'[1]CANTIDADES HIDROSANITARIO'!$F$15</f>
        <v>77</v>
      </c>
      <c r="J46" s="35">
        <f t="shared" si="5"/>
        <v>32566.878672222225</v>
      </c>
      <c r="K46" s="456">
        <f t="shared" si="6"/>
        <v>2507650</v>
      </c>
      <c r="M46" s="483">
        <f t="shared" si="2"/>
        <v>3326518</v>
      </c>
    </row>
    <row r="47" spans="2:13" ht="33" customHeight="1" x14ac:dyDescent="0.25">
      <c r="B47" s="29">
        <v>11</v>
      </c>
      <c r="C47" s="529" t="s">
        <v>63</v>
      </c>
      <c r="D47" s="529"/>
      <c r="E47" s="441" t="s">
        <v>51</v>
      </c>
      <c r="F47" s="444">
        <v>1320</v>
      </c>
      <c r="G47" s="28">
        <v>21227.8125</v>
      </c>
      <c r="H47" s="445">
        <f t="shared" si="4"/>
        <v>28020713</v>
      </c>
      <c r="I47" s="452">
        <f>+ROUND((I37/2.64)*4,0)</f>
        <v>1320</v>
      </c>
      <c r="J47" s="35">
        <f t="shared" si="5"/>
        <v>21861.074502083335</v>
      </c>
      <c r="K47" s="456">
        <f t="shared" si="6"/>
        <v>28856618</v>
      </c>
      <c r="M47" s="483">
        <f t="shared" si="2"/>
        <v>28856618</v>
      </c>
    </row>
    <row r="48" spans="2:13" x14ac:dyDescent="0.25">
      <c r="B48" s="29">
        <v>12</v>
      </c>
      <c r="C48" s="529" t="s">
        <v>52</v>
      </c>
      <c r="D48" s="529"/>
      <c r="E48" s="441" t="s">
        <v>51</v>
      </c>
      <c r="F48" s="444">
        <v>22</v>
      </c>
      <c r="G48" s="28">
        <v>458918.57</v>
      </c>
      <c r="H48" s="445">
        <f t="shared" si="4"/>
        <v>10096209</v>
      </c>
      <c r="I48" s="452">
        <f>+'[1]CANTIDADES HIDROSANITARIO'!$F$18</f>
        <v>22</v>
      </c>
      <c r="J48" s="35">
        <f t="shared" si="5"/>
        <v>346631.86067616666</v>
      </c>
      <c r="K48" s="456">
        <f t="shared" si="6"/>
        <v>7625901</v>
      </c>
      <c r="M48" s="483">
        <f t="shared" si="2"/>
        <v>10096209</v>
      </c>
    </row>
    <row r="49" spans="2:14" x14ac:dyDescent="0.25">
      <c r="B49" s="29">
        <v>13</v>
      </c>
      <c r="C49" s="529" t="s">
        <v>53</v>
      </c>
      <c r="D49" s="529"/>
      <c r="E49" s="441" t="s">
        <v>41</v>
      </c>
      <c r="F49" s="444">
        <v>17.349999999999998</v>
      </c>
      <c r="G49" s="28">
        <v>43872.366666666669</v>
      </c>
      <c r="H49" s="445">
        <f t="shared" si="4"/>
        <v>761186</v>
      </c>
      <c r="I49" s="452">
        <f>+'[1]CANTIDADES HIDROSANITARIO'!$F5+'[1]CANTIDADES HIDROSANITARIO'!F24</f>
        <v>17.349999999999998</v>
      </c>
      <c r="J49" s="35">
        <f t="shared" si="5"/>
        <v>34500.618008333331</v>
      </c>
      <c r="K49" s="456">
        <f t="shared" si="6"/>
        <v>598586</v>
      </c>
      <c r="M49" s="483">
        <f t="shared" si="2"/>
        <v>761186</v>
      </c>
    </row>
    <row r="50" spans="2:14" ht="16.5" customHeight="1" x14ac:dyDescent="0.25">
      <c r="B50" s="29">
        <v>14</v>
      </c>
      <c r="C50" s="529" t="s">
        <v>54</v>
      </c>
      <c r="D50" s="529"/>
      <c r="E50" s="441" t="s">
        <v>41</v>
      </c>
      <c r="F50" s="444">
        <v>0</v>
      </c>
      <c r="G50" s="28">
        <v>60381.366666666669</v>
      </c>
      <c r="H50" s="445">
        <f t="shared" si="4"/>
        <v>0</v>
      </c>
      <c r="I50" s="452">
        <f>+'[1]CANTIDADES HIDROSANITARIO'!$F6+'[1]CANTIDADES HIDROSANITARIO'!F25</f>
        <v>0</v>
      </c>
      <c r="J50" s="35">
        <f t="shared" si="5"/>
        <v>42507.018008333325</v>
      </c>
      <c r="K50" s="456">
        <f t="shared" si="6"/>
        <v>0</v>
      </c>
      <c r="M50" s="483">
        <f t="shared" si="2"/>
        <v>0</v>
      </c>
    </row>
    <row r="51" spans="2:14" ht="33" customHeight="1" x14ac:dyDescent="0.25">
      <c r="B51" s="29">
        <v>15</v>
      </c>
      <c r="C51" s="529" t="s">
        <v>55</v>
      </c>
      <c r="D51" s="529"/>
      <c r="E51" s="441" t="s">
        <v>41</v>
      </c>
      <c r="F51" s="444">
        <v>179.65</v>
      </c>
      <c r="G51" s="28">
        <v>79905.866666666669</v>
      </c>
      <c r="H51" s="445">
        <f t="shared" si="4"/>
        <v>14355089</v>
      </c>
      <c r="I51" s="452">
        <f>+'[1]CANTIDADES HIDROSANITARIO'!$F7+'[1]CANTIDADES HIDROSANITARIO'!F26</f>
        <v>178.85</v>
      </c>
      <c r="J51" s="35">
        <f t="shared" si="5"/>
        <v>63918.575564814819</v>
      </c>
      <c r="K51" s="456">
        <f t="shared" si="6"/>
        <v>11431837</v>
      </c>
      <c r="M51" s="483">
        <f t="shared" si="2"/>
        <v>14355089</v>
      </c>
    </row>
    <row r="52" spans="2:14" ht="33" customHeight="1" x14ac:dyDescent="0.25">
      <c r="B52" s="29">
        <v>16</v>
      </c>
      <c r="C52" s="529" t="s">
        <v>56</v>
      </c>
      <c r="D52" s="529"/>
      <c r="E52" s="441" t="s">
        <v>41</v>
      </c>
      <c r="F52" s="444">
        <v>0</v>
      </c>
      <c r="G52" s="28">
        <v>94332.866666666669</v>
      </c>
      <c r="H52" s="445">
        <f t="shared" si="4"/>
        <v>0</v>
      </c>
      <c r="I52" s="452">
        <f>+'[1]CANTIDADES HIDROSANITARIO'!$F8+'[1]CANTIDADES HIDROSANITARIO'!F27</f>
        <v>0</v>
      </c>
      <c r="J52" s="35">
        <f t="shared" si="5"/>
        <v>85814.354043859654</v>
      </c>
      <c r="K52" s="456">
        <f t="shared" si="6"/>
        <v>0</v>
      </c>
      <c r="M52" s="483">
        <f t="shared" si="2"/>
        <v>0</v>
      </c>
    </row>
    <row r="53" spans="2:14" ht="19.5" customHeight="1" x14ac:dyDescent="0.25">
      <c r="B53" s="29">
        <v>17</v>
      </c>
      <c r="C53" s="529" t="s">
        <v>57</v>
      </c>
      <c r="D53" s="529"/>
      <c r="E53" s="441" t="s">
        <v>58</v>
      </c>
      <c r="F53" s="444">
        <v>119.12</v>
      </c>
      <c r="G53" s="28">
        <v>33022.5</v>
      </c>
      <c r="H53" s="445">
        <f t="shared" si="4"/>
        <v>3933640</v>
      </c>
      <c r="I53" s="452">
        <f>I48*0.8*0.5+(SUM('[1]CANTIDADES HIDROSANITARIO'!F5:F8,'[1]CANTIDADES HIDROSANITARIO'!F24:F27)*0.8*0.7)</f>
        <v>118.672</v>
      </c>
      <c r="J53" s="35">
        <f t="shared" si="5"/>
        <v>26403.487424999999</v>
      </c>
      <c r="K53" s="456">
        <f t="shared" si="6"/>
        <v>3133355</v>
      </c>
      <c r="M53" s="483">
        <f t="shared" si="2"/>
        <v>3933640</v>
      </c>
    </row>
    <row r="54" spans="2:14" ht="32.25" customHeight="1" x14ac:dyDescent="0.25">
      <c r="B54" s="29">
        <v>18</v>
      </c>
      <c r="C54" s="529" t="s">
        <v>59</v>
      </c>
      <c r="D54" s="529"/>
      <c r="E54" s="441" t="s">
        <v>58</v>
      </c>
      <c r="F54" s="444">
        <v>154.85600000000002</v>
      </c>
      <c r="G54" s="28">
        <v>22015</v>
      </c>
      <c r="H54" s="445">
        <f t="shared" si="4"/>
        <v>3409155</v>
      </c>
      <c r="I54" s="452">
        <f>+I53*1.3</f>
        <v>154.27359999999999</v>
      </c>
      <c r="J54" s="35">
        <f t="shared" si="5"/>
        <v>19558.138833333331</v>
      </c>
      <c r="K54" s="456">
        <f t="shared" si="6"/>
        <v>3017304</v>
      </c>
      <c r="M54" s="483">
        <f t="shared" si="2"/>
        <v>3409155</v>
      </c>
    </row>
    <row r="55" spans="2:14" ht="32.25" customHeight="1" x14ac:dyDescent="0.25">
      <c r="B55" s="29"/>
      <c r="C55" s="550" t="s">
        <v>60</v>
      </c>
      <c r="D55" s="550"/>
      <c r="E55" s="441"/>
      <c r="F55" s="444"/>
      <c r="G55" s="28"/>
      <c r="H55" s="446">
        <f>SUM(H37:H54)</f>
        <v>200827189</v>
      </c>
      <c r="I55" s="547" t="s">
        <v>60</v>
      </c>
      <c r="J55" s="548"/>
      <c r="K55" s="446">
        <f>SUM(K37:K54)</f>
        <v>183465827</v>
      </c>
      <c r="M55" s="483"/>
      <c r="N55" s="422">
        <f>SUM(M37:M54)</f>
        <v>202559301</v>
      </c>
    </row>
    <row r="56" spans="2:14" ht="21" customHeight="1" x14ac:dyDescent="0.25">
      <c r="B56" s="29"/>
      <c r="C56" s="549" t="s">
        <v>180</v>
      </c>
      <c r="D56" s="549"/>
      <c r="E56" s="441"/>
      <c r="F56" s="444"/>
      <c r="G56" s="28"/>
      <c r="H56" s="450">
        <f t="shared" si="4"/>
        <v>0</v>
      </c>
      <c r="I56" s="547"/>
      <c r="J56" s="548"/>
      <c r="K56" s="446"/>
      <c r="M56" s="483">
        <f t="shared" si="2"/>
        <v>0</v>
      </c>
    </row>
    <row r="57" spans="2:14" ht="21" customHeight="1" x14ac:dyDescent="0.25">
      <c r="B57" s="29" t="s">
        <v>181</v>
      </c>
      <c r="C57" s="529" t="s">
        <v>182</v>
      </c>
      <c r="D57" s="529"/>
      <c r="E57" s="441" t="s">
        <v>41</v>
      </c>
      <c r="F57" s="444"/>
      <c r="G57" s="28"/>
      <c r="H57" s="450">
        <f t="shared" si="4"/>
        <v>0</v>
      </c>
      <c r="I57" s="452">
        <f>+'[1]CANTIDADES HIDROSANITARIO'!F9</f>
        <v>106.8</v>
      </c>
      <c r="J57" s="30">
        <f>+J28</f>
        <v>5752.3937745098037</v>
      </c>
      <c r="K57" s="456">
        <f t="shared" ref="K57:K61" si="7">ROUND((J57*I57),0)</f>
        <v>614356</v>
      </c>
      <c r="M57" s="483">
        <f t="shared" si="2"/>
        <v>614356</v>
      </c>
    </row>
    <row r="58" spans="2:14" ht="33" customHeight="1" x14ac:dyDescent="0.25">
      <c r="B58" s="29" t="s">
        <v>183</v>
      </c>
      <c r="C58" s="529" t="s">
        <v>184</v>
      </c>
      <c r="D58" s="529"/>
      <c r="E58" s="441" t="s">
        <v>41</v>
      </c>
      <c r="F58" s="444"/>
      <c r="G58" s="28"/>
      <c r="H58" s="450">
        <f t="shared" si="4"/>
        <v>0</v>
      </c>
      <c r="I58" s="452">
        <f>+I57</f>
        <v>106.8</v>
      </c>
      <c r="J58" s="30">
        <f t="shared" ref="J58:J61" si="8">+J29</f>
        <v>60567.673541666663</v>
      </c>
      <c r="K58" s="456">
        <f t="shared" si="7"/>
        <v>6468628</v>
      </c>
      <c r="M58" s="483">
        <f t="shared" si="2"/>
        <v>6468628</v>
      </c>
    </row>
    <row r="59" spans="2:14" ht="21" customHeight="1" x14ac:dyDescent="0.25">
      <c r="B59" s="29" t="s">
        <v>185</v>
      </c>
      <c r="C59" s="529" t="s">
        <v>186</v>
      </c>
      <c r="D59" s="529"/>
      <c r="E59" s="441" t="s">
        <v>39</v>
      </c>
      <c r="F59" s="444"/>
      <c r="G59" s="28"/>
      <c r="H59" s="450">
        <f t="shared" si="4"/>
        <v>0</v>
      </c>
      <c r="I59" s="452">
        <f>+I37</f>
        <v>871.45884999999998</v>
      </c>
      <c r="J59" s="30">
        <f t="shared" si="8"/>
        <v>3414.0454137476459</v>
      </c>
      <c r="K59" s="456">
        <f t="shared" si="7"/>
        <v>2975200</v>
      </c>
      <c r="M59" s="483">
        <f t="shared" si="2"/>
        <v>2975200</v>
      </c>
    </row>
    <row r="60" spans="2:14" ht="21" customHeight="1" x14ac:dyDescent="0.25">
      <c r="B60" s="29" t="s">
        <v>187</v>
      </c>
      <c r="C60" s="529" t="s">
        <v>188</v>
      </c>
      <c r="D60" s="529"/>
      <c r="E60" s="441" t="s">
        <v>189</v>
      </c>
      <c r="F60" s="444"/>
      <c r="G60" s="28"/>
      <c r="H60" s="450">
        <f t="shared" si="4"/>
        <v>0</v>
      </c>
      <c r="I60" s="452">
        <f>+[1]CANTIDADES!D448</f>
        <v>0.20940976514215079</v>
      </c>
      <c r="J60" s="30">
        <f t="shared" si="8"/>
        <v>29337208.25</v>
      </c>
      <c r="K60" s="456">
        <f t="shared" si="7"/>
        <v>6143498</v>
      </c>
      <c r="M60" s="483">
        <f t="shared" si="2"/>
        <v>6143498</v>
      </c>
    </row>
    <row r="61" spans="2:14" ht="21" customHeight="1" x14ac:dyDescent="0.25">
      <c r="B61" s="29" t="s">
        <v>190</v>
      </c>
      <c r="C61" s="529" t="s">
        <v>191</v>
      </c>
      <c r="D61" s="529"/>
      <c r="E61" s="441" t="s">
        <v>58</v>
      </c>
      <c r="F61" s="444"/>
      <c r="G61" s="28"/>
      <c r="H61" s="450">
        <f t="shared" si="4"/>
        <v>0</v>
      </c>
      <c r="I61" s="452">
        <f>+'[1]CANTIDADES HIDROSANITARIO'!H52</f>
        <v>64.943766106743666</v>
      </c>
      <c r="J61" s="30">
        <f t="shared" si="8"/>
        <v>29423.255533333333</v>
      </c>
      <c r="K61" s="456">
        <f t="shared" si="7"/>
        <v>1910857</v>
      </c>
      <c r="M61" s="483">
        <f t="shared" si="2"/>
        <v>1910857</v>
      </c>
    </row>
    <row r="62" spans="2:14" ht="21" customHeight="1" x14ac:dyDescent="0.25">
      <c r="B62" s="29"/>
      <c r="C62" s="548" t="s">
        <v>192</v>
      </c>
      <c r="D62" s="548"/>
      <c r="E62" s="441"/>
      <c r="F62" s="444"/>
      <c r="G62" s="28"/>
      <c r="H62" s="446">
        <f>SUM(H57:H61)</f>
        <v>0</v>
      </c>
      <c r="I62" s="547" t="s">
        <v>192</v>
      </c>
      <c r="J62" s="548"/>
      <c r="K62" s="446">
        <f>SUM(K57:K61)</f>
        <v>18112539</v>
      </c>
      <c r="M62" s="483"/>
    </row>
    <row r="63" spans="2:14" ht="33" customHeight="1" x14ac:dyDescent="0.25">
      <c r="B63" s="29"/>
      <c r="C63" s="548" t="s">
        <v>193</v>
      </c>
      <c r="D63" s="548"/>
      <c r="E63" s="441"/>
      <c r="F63" s="447"/>
      <c r="G63" s="29"/>
      <c r="H63" s="446">
        <f>+H62+H55</f>
        <v>200827189</v>
      </c>
      <c r="I63" s="547" t="s">
        <v>193</v>
      </c>
      <c r="J63" s="548"/>
      <c r="K63" s="446">
        <f>+K62+K55</f>
        <v>201578366</v>
      </c>
      <c r="M63" s="483"/>
    </row>
    <row r="64" spans="2:14" customFormat="1" ht="18" customHeight="1" thickBot="1" x14ac:dyDescent="0.3">
      <c r="F64" s="227"/>
      <c r="G64" s="228"/>
      <c r="H64" s="309"/>
      <c r="I64" s="227"/>
      <c r="J64" s="448"/>
      <c r="K64" s="449"/>
      <c r="M64" s="483">
        <f t="shared" si="2"/>
        <v>0</v>
      </c>
    </row>
    <row r="65" spans="2:13" ht="33" customHeight="1" thickBot="1" x14ac:dyDescent="0.3">
      <c r="B65" s="436" t="s">
        <v>64</v>
      </c>
      <c r="C65" s="437"/>
      <c r="D65" s="437"/>
      <c r="E65" s="442"/>
      <c r="F65" s="436"/>
      <c r="G65" s="437"/>
      <c r="H65" s="438"/>
      <c r="I65" s="436"/>
      <c r="J65" s="437"/>
      <c r="K65" s="438"/>
      <c r="M65" s="483">
        <f t="shared" si="2"/>
        <v>0</v>
      </c>
    </row>
    <row r="66" spans="2:13" ht="33" customHeight="1" x14ac:dyDescent="0.25">
      <c r="B66" s="27">
        <v>1</v>
      </c>
      <c r="C66" s="537" t="s">
        <v>62</v>
      </c>
      <c r="D66" s="537"/>
      <c r="E66" s="440" t="s">
        <v>39</v>
      </c>
      <c r="F66" s="444">
        <v>192.65899999999999</v>
      </c>
      <c r="G66" s="35">
        <v>14089.864864864865</v>
      </c>
      <c r="H66" s="445">
        <f t="shared" ref="H66:H83" si="9">ROUND((G66*F66),0)</f>
        <v>2714539</v>
      </c>
      <c r="I66" s="444">
        <f>[1]CANTIDADES!I134</f>
        <v>192.65899999999999</v>
      </c>
      <c r="J66" s="35">
        <f t="shared" ref="J66:J83" si="10">J37</f>
        <v>13071.221490062557</v>
      </c>
      <c r="K66" s="445">
        <f t="shared" ref="K66:K83" si="11">ROUND((J66*I66),0)</f>
        <v>2518288</v>
      </c>
      <c r="M66" s="483">
        <f t="shared" si="2"/>
        <v>2714539</v>
      </c>
    </row>
    <row r="67" spans="2:13" ht="34.5" customHeight="1" x14ac:dyDescent="0.25">
      <c r="B67" s="29">
        <v>2</v>
      </c>
      <c r="C67" s="529" t="s">
        <v>40</v>
      </c>
      <c r="D67" s="529"/>
      <c r="E67" s="441" t="s">
        <v>41</v>
      </c>
      <c r="F67" s="444">
        <v>139.81</v>
      </c>
      <c r="G67" s="35">
        <v>25267</v>
      </c>
      <c r="H67" s="445">
        <f t="shared" si="9"/>
        <v>3532579</v>
      </c>
      <c r="I67" s="452">
        <f>12.71*11</f>
        <v>139.81</v>
      </c>
      <c r="J67" s="35">
        <f t="shared" si="10"/>
        <v>24723</v>
      </c>
      <c r="K67" s="456">
        <f t="shared" si="11"/>
        <v>3456523</v>
      </c>
      <c r="M67" s="483">
        <f t="shared" si="2"/>
        <v>3532579</v>
      </c>
    </row>
    <row r="68" spans="2:13" ht="34.5" customHeight="1" x14ac:dyDescent="0.25">
      <c r="B68" s="29">
        <v>3</v>
      </c>
      <c r="C68" s="529" t="s">
        <v>42</v>
      </c>
      <c r="D68" s="529"/>
      <c r="E68" s="441" t="s">
        <v>41</v>
      </c>
      <c r="F68" s="444">
        <v>15.17</v>
      </c>
      <c r="G68" s="35">
        <v>61502</v>
      </c>
      <c r="H68" s="445">
        <f t="shared" si="9"/>
        <v>932985</v>
      </c>
      <c r="I68" s="452">
        <v>15.17</v>
      </c>
      <c r="J68" s="35">
        <f t="shared" si="10"/>
        <v>59066</v>
      </c>
      <c r="K68" s="456">
        <f t="shared" si="11"/>
        <v>896031</v>
      </c>
      <c r="M68" s="483">
        <f t="shared" si="2"/>
        <v>932985</v>
      </c>
    </row>
    <row r="69" spans="2:13" ht="34.5" customHeight="1" x14ac:dyDescent="0.25">
      <c r="B69" s="29">
        <v>4</v>
      </c>
      <c r="C69" s="529" t="s">
        <v>43</v>
      </c>
      <c r="D69" s="529"/>
      <c r="E69" s="441" t="s">
        <v>39</v>
      </c>
      <c r="F69" s="444">
        <v>192.65899999999999</v>
      </c>
      <c r="G69" s="35">
        <v>102428.22222222222</v>
      </c>
      <c r="H69" s="445">
        <f t="shared" si="9"/>
        <v>19733719</v>
      </c>
      <c r="I69" s="452">
        <f>[1]CANTIDADES!I143</f>
        <v>192.65899999999999</v>
      </c>
      <c r="J69" s="35">
        <f t="shared" si="10"/>
        <v>91298.616971129333</v>
      </c>
      <c r="K69" s="456">
        <f t="shared" si="11"/>
        <v>17589500</v>
      </c>
      <c r="M69" s="483">
        <f t="shared" si="2"/>
        <v>19733719</v>
      </c>
    </row>
    <row r="70" spans="2:13" x14ac:dyDescent="0.25">
      <c r="B70" s="29">
        <v>5</v>
      </c>
      <c r="C70" s="529" t="s">
        <v>44</v>
      </c>
      <c r="D70" s="529"/>
      <c r="E70" s="441" t="s">
        <v>41</v>
      </c>
      <c r="F70" s="444">
        <v>12.7</v>
      </c>
      <c r="G70" s="35">
        <v>75345</v>
      </c>
      <c r="H70" s="445">
        <f t="shared" si="9"/>
        <v>956882</v>
      </c>
      <c r="I70" s="452">
        <f>[1]CANTIDADES!I152</f>
        <v>12.7</v>
      </c>
      <c r="J70" s="35">
        <f t="shared" si="10"/>
        <v>74872.883300000001</v>
      </c>
      <c r="K70" s="456">
        <f t="shared" si="11"/>
        <v>950886</v>
      </c>
      <c r="M70" s="483">
        <f t="shared" si="2"/>
        <v>956882</v>
      </c>
    </row>
    <row r="71" spans="2:13" ht="16.5" customHeight="1" x14ac:dyDescent="0.25">
      <c r="B71" s="29">
        <v>6</v>
      </c>
      <c r="C71" s="529" t="s">
        <v>45</v>
      </c>
      <c r="D71" s="529"/>
      <c r="E71" s="441" t="s">
        <v>41</v>
      </c>
      <c r="F71" s="444">
        <v>0</v>
      </c>
      <c r="G71" s="35">
        <v>65173</v>
      </c>
      <c r="H71" s="445">
        <f t="shared" si="9"/>
        <v>0</v>
      </c>
      <c r="I71" s="452">
        <v>0</v>
      </c>
      <c r="J71" s="35">
        <f t="shared" si="10"/>
        <v>40022.4833</v>
      </c>
      <c r="K71" s="456">
        <f t="shared" si="11"/>
        <v>0</v>
      </c>
      <c r="M71" s="483">
        <f t="shared" si="2"/>
        <v>0</v>
      </c>
    </row>
    <row r="72" spans="2:13" ht="33" customHeight="1" x14ac:dyDescent="0.25">
      <c r="B72" s="29">
        <v>7</v>
      </c>
      <c r="C72" s="529" t="s">
        <v>46</v>
      </c>
      <c r="D72" s="529"/>
      <c r="E72" s="441" t="s">
        <v>41</v>
      </c>
      <c r="F72" s="444">
        <v>0</v>
      </c>
      <c r="G72" s="35">
        <v>63653.333333333336</v>
      </c>
      <c r="H72" s="445">
        <f t="shared" si="9"/>
        <v>0</v>
      </c>
      <c r="I72" s="452">
        <v>0</v>
      </c>
      <c r="J72" s="35">
        <f t="shared" si="10"/>
        <v>63246.588866666665</v>
      </c>
      <c r="K72" s="456">
        <f t="shared" si="11"/>
        <v>0</v>
      </c>
      <c r="M72" s="483">
        <f t="shared" si="2"/>
        <v>0</v>
      </c>
    </row>
    <row r="73" spans="2:13" ht="33" customHeight="1" x14ac:dyDescent="0.25">
      <c r="B73" s="29">
        <v>8</v>
      </c>
      <c r="C73" s="529" t="s">
        <v>47</v>
      </c>
      <c r="D73" s="529"/>
      <c r="E73" s="441" t="s">
        <v>41</v>
      </c>
      <c r="F73" s="444">
        <v>25.4</v>
      </c>
      <c r="G73" s="35">
        <v>58921.904761904756</v>
      </c>
      <c r="H73" s="445">
        <f t="shared" si="9"/>
        <v>1496616</v>
      </c>
      <c r="I73" s="452">
        <f>[1]CANTIDADES!I161</f>
        <v>25.4</v>
      </c>
      <c r="J73" s="35">
        <f t="shared" si="10"/>
        <v>63582.363706349206</v>
      </c>
      <c r="K73" s="456">
        <f t="shared" si="11"/>
        <v>1614992</v>
      </c>
      <c r="M73" s="483">
        <f t="shared" ref="M73:M136" si="12">+MAX(K73,H73)</f>
        <v>1614992</v>
      </c>
    </row>
    <row r="74" spans="2:13" ht="16.5" customHeight="1" x14ac:dyDescent="0.25">
      <c r="B74" s="29">
        <v>9</v>
      </c>
      <c r="C74" s="529" t="s">
        <v>48</v>
      </c>
      <c r="D74" s="529"/>
      <c r="E74" s="441" t="s">
        <v>41</v>
      </c>
      <c r="F74" s="444">
        <v>7</v>
      </c>
      <c r="G74" s="35">
        <v>48840.53333333334</v>
      </c>
      <c r="H74" s="445">
        <f t="shared" si="9"/>
        <v>341884</v>
      </c>
      <c r="I74" s="452">
        <f>+'[1]CANTIDADES HIDROSANITARIO'!$E$16</f>
        <v>7</v>
      </c>
      <c r="J74" s="35">
        <f t="shared" si="10"/>
        <v>40926.078672222218</v>
      </c>
      <c r="K74" s="456">
        <f t="shared" si="11"/>
        <v>286483</v>
      </c>
      <c r="M74" s="483">
        <f t="shared" si="12"/>
        <v>341884</v>
      </c>
    </row>
    <row r="75" spans="2:13" ht="16.5" customHeight="1" x14ac:dyDescent="0.25">
      <c r="B75" s="29">
        <v>10</v>
      </c>
      <c r="C75" s="529" t="s">
        <v>49</v>
      </c>
      <c r="D75" s="529"/>
      <c r="E75" s="441" t="s">
        <v>41</v>
      </c>
      <c r="F75" s="444">
        <v>0</v>
      </c>
      <c r="G75" s="35">
        <v>43201.533333333333</v>
      </c>
      <c r="H75" s="445">
        <f t="shared" si="9"/>
        <v>0</v>
      </c>
      <c r="I75" s="452">
        <v>0</v>
      </c>
      <c r="J75" s="35">
        <f t="shared" si="10"/>
        <v>32566.878672222225</v>
      </c>
      <c r="K75" s="456">
        <f t="shared" si="11"/>
        <v>0</v>
      </c>
      <c r="M75" s="483">
        <f t="shared" si="12"/>
        <v>0</v>
      </c>
    </row>
    <row r="76" spans="2:13" ht="16.5" customHeight="1" x14ac:dyDescent="0.25">
      <c r="B76" s="29">
        <v>11</v>
      </c>
      <c r="C76" s="529" t="s">
        <v>63</v>
      </c>
      <c r="D76" s="529"/>
      <c r="E76" s="441" t="s">
        <v>51</v>
      </c>
      <c r="F76" s="444">
        <v>292</v>
      </c>
      <c r="G76" s="35">
        <v>21227.8125</v>
      </c>
      <c r="H76" s="445">
        <f t="shared" si="9"/>
        <v>6198521</v>
      </c>
      <c r="I76" s="452">
        <f>+ROUND((I66/2.64)*4,0)</f>
        <v>292</v>
      </c>
      <c r="J76" s="35">
        <f t="shared" si="10"/>
        <v>21861.074502083335</v>
      </c>
      <c r="K76" s="456">
        <f t="shared" si="11"/>
        <v>6383434</v>
      </c>
      <c r="M76" s="483">
        <f t="shared" si="12"/>
        <v>6383434</v>
      </c>
    </row>
    <row r="77" spans="2:13" ht="16.5" customHeight="1" x14ac:dyDescent="0.25">
      <c r="B77" s="29">
        <v>12</v>
      </c>
      <c r="C77" s="529" t="s">
        <v>52</v>
      </c>
      <c r="D77" s="529"/>
      <c r="E77" s="441" t="s">
        <v>51</v>
      </c>
      <c r="F77" s="444">
        <v>2</v>
      </c>
      <c r="G77" s="35">
        <v>458918.57</v>
      </c>
      <c r="H77" s="445">
        <f t="shared" si="9"/>
        <v>917837</v>
      </c>
      <c r="I77" s="452">
        <f>+'[1]CANTIDADES HIDROSANITARIO'!$E$18</f>
        <v>2</v>
      </c>
      <c r="J77" s="35">
        <f t="shared" si="10"/>
        <v>346631.86067616666</v>
      </c>
      <c r="K77" s="456">
        <f t="shared" si="11"/>
        <v>693264</v>
      </c>
      <c r="M77" s="483">
        <f t="shared" si="12"/>
        <v>917837</v>
      </c>
    </row>
    <row r="78" spans="2:13" ht="16.5" customHeight="1" x14ac:dyDescent="0.25">
      <c r="B78" s="29">
        <v>13</v>
      </c>
      <c r="C78" s="529" t="s">
        <v>53</v>
      </c>
      <c r="D78" s="529"/>
      <c r="E78" s="441" t="s">
        <v>41</v>
      </c>
      <c r="F78" s="444">
        <v>0</v>
      </c>
      <c r="G78" s="35">
        <v>43872.366666666669</v>
      </c>
      <c r="H78" s="445">
        <f t="shared" si="9"/>
        <v>0</v>
      </c>
      <c r="I78" s="452">
        <f>+'[1]CANTIDADES HIDROSANITARIO'!$E5+'[1]CANTIDADES HIDROSANITARIO'!E24</f>
        <v>0</v>
      </c>
      <c r="J78" s="35">
        <f t="shared" si="10"/>
        <v>34500.618008333331</v>
      </c>
      <c r="K78" s="456">
        <f t="shared" si="11"/>
        <v>0</v>
      </c>
      <c r="M78" s="483">
        <f t="shared" si="12"/>
        <v>0</v>
      </c>
    </row>
    <row r="79" spans="2:13" x14ac:dyDescent="0.25">
      <c r="B79" s="29">
        <v>14</v>
      </c>
      <c r="C79" s="529" t="s">
        <v>65</v>
      </c>
      <c r="D79" s="529"/>
      <c r="E79" s="441" t="s">
        <v>41</v>
      </c>
      <c r="F79" s="444">
        <v>17.099999999999998</v>
      </c>
      <c r="G79" s="35">
        <v>60381.366666666669</v>
      </c>
      <c r="H79" s="445">
        <f t="shared" si="9"/>
        <v>1032521</v>
      </c>
      <c r="I79" s="452">
        <f>+'[1]CANTIDADES HIDROSANITARIO'!$E6+'[1]CANTIDADES HIDROSANITARIO'!E25</f>
        <v>17.099999999999998</v>
      </c>
      <c r="J79" s="35">
        <f t="shared" si="10"/>
        <v>42507.018008333325</v>
      </c>
      <c r="K79" s="456">
        <f t="shared" si="11"/>
        <v>726870</v>
      </c>
      <c r="M79" s="483">
        <f t="shared" si="12"/>
        <v>1032521</v>
      </c>
    </row>
    <row r="80" spans="2:13" ht="16.5" customHeight="1" x14ac:dyDescent="0.25">
      <c r="B80" s="29">
        <v>15</v>
      </c>
      <c r="C80" s="529" t="s">
        <v>55</v>
      </c>
      <c r="D80" s="529"/>
      <c r="E80" s="441" t="s">
        <v>41</v>
      </c>
      <c r="F80" s="444">
        <v>0</v>
      </c>
      <c r="G80" s="35">
        <v>79905.866666666669</v>
      </c>
      <c r="H80" s="445">
        <f t="shared" si="9"/>
        <v>0</v>
      </c>
      <c r="I80" s="452">
        <f>+'[1]CANTIDADES HIDROSANITARIO'!$E7+'[1]CANTIDADES HIDROSANITARIO'!E26</f>
        <v>0</v>
      </c>
      <c r="J80" s="35">
        <f t="shared" si="10"/>
        <v>63918.575564814819</v>
      </c>
      <c r="K80" s="456">
        <f t="shared" si="11"/>
        <v>0</v>
      </c>
      <c r="M80" s="483">
        <f t="shared" si="12"/>
        <v>0</v>
      </c>
    </row>
    <row r="81" spans="2:14" ht="16.5" customHeight="1" x14ac:dyDescent="0.25">
      <c r="B81" s="29">
        <v>16</v>
      </c>
      <c r="C81" s="529" t="s">
        <v>56</v>
      </c>
      <c r="D81" s="529"/>
      <c r="E81" s="441" t="s">
        <v>41</v>
      </c>
      <c r="F81" s="444">
        <v>0</v>
      </c>
      <c r="G81" s="35">
        <v>94332.866666666669</v>
      </c>
      <c r="H81" s="445">
        <f t="shared" si="9"/>
        <v>0</v>
      </c>
      <c r="I81" s="452">
        <f>+'[1]CANTIDADES HIDROSANITARIO'!$E8+'[1]CANTIDADES HIDROSANITARIO'!E27</f>
        <v>0</v>
      </c>
      <c r="J81" s="35">
        <f t="shared" si="10"/>
        <v>85814.354043859654</v>
      </c>
      <c r="K81" s="456">
        <f t="shared" si="11"/>
        <v>0</v>
      </c>
      <c r="M81" s="483">
        <f t="shared" si="12"/>
        <v>0</v>
      </c>
    </row>
    <row r="82" spans="2:14" ht="19.5" customHeight="1" x14ac:dyDescent="0.25">
      <c r="B82" s="29">
        <v>17</v>
      </c>
      <c r="C82" s="529" t="s">
        <v>57</v>
      </c>
      <c r="D82" s="529"/>
      <c r="E82" s="441" t="s">
        <v>58</v>
      </c>
      <c r="F82" s="444">
        <v>10.375999999999999</v>
      </c>
      <c r="G82" s="35">
        <v>33022.5</v>
      </c>
      <c r="H82" s="445">
        <f t="shared" si="9"/>
        <v>342641</v>
      </c>
      <c r="I82" s="452">
        <f>I77*0.8*0.5+(SUM('[1]CANTIDADES HIDROSANITARIO'!E5:E8,'[1]CANTIDADES HIDROSANITARIO'!E24:E27)*0.8*0.7)</f>
        <v>10.375999999999999</v>
      </c>
      <c r="J82" s="35">
        <f t="shared" si="10"/>
        <v>26403.487424999999</v>
      </c>
      <c r="K82" s="456">
        <f t="shared" si="11"/>
        <v>273963</v>
      </c>
      <c r="M82" s="483">
        <f t="shared" si="12"/>
        <v>342641</v>
      </c>
    </row>
    <row r="83" spans="2:14" x14ac:dyDescent="0.25">
      <c r="B83" s="29">
        <v>18</v>
      </c>
      <c r="C83" s="529" t="s">
        <v>59</v>
      </c>
      <c r="D83" s="529"/>
      <c r="E83" s="441" t="s">
        <v>58</v>
      </c>
      <c r="F83" s="444">
        <v>13.488799999999999</v>
      </c>
      <c r="G83" s="35">
        <v>22015</v>
      </c>
      <c r="H83" s="445">
        <f t="shared" si="9"/>
        <v>296956</v>
      </c>
      <c r="I83" s="452">
        <f>+I82*1.3</f>
        <v>13.488799999999999</v>
      </c>
      <c r="J83" s="35">
        <f t="shared" si="10"/>
        <v>19558.138833333331</v>
      </c>
      <c r="K83" s="456">
        <f t="shared" si="11"/>
        <v>263816</v>
      </c>
      <c r="M83" s="483">
        <f t="shared" si="12"/>
        <v>296956</v>
      </c>
    </row>
    <row r="84" spans="2:14" ht="32.25" customHeight="1" x14ac:dyDescent="0.25">
      <c r="B84" s="29"/>
      <c r="C84" s="550" t="s">
        <v>60</v>
      </c>
      <c r="D84" s="550"/>
      <c r="E84" s="441"/>
      <c r="F84" s="444"/>
      <c r="G84" s="28"/>
      <c r="H84" s="446">
        <f>SUM(H66:H83)</f>
        <v>38497680</v>
      </c>
      <c r="I84" s="547"/>
      <c r="J84" s="548"/>
      <c r="K84" s="446">
        <f>SUM(K66:K83)</f>
        <v>35654050</v>
      </c>
      <c r="M84" s="483"/>
      <c r="N84" s="422">
        <f>SUM(M66:M83)</f>
        <v>38800969</v>
      </c>
    </row>
    <row r="85" spans="2:14" x14ac:dyDescent="0.25">
      <c r="B85" s="29"/>
      <c r="C85" s="549" t="s">
        <v>180</v>
      </c>
      <c r="D85" s="549"/>
      <c r="E85" s="441"/>
      <c r="F85" s="447"/>
      <c r="G85" s="29"/>
      <c r="H85" s="451"/>
      <c r="I85" s="547"/>
      <c r="J85" s="548"/>
      <c r="K85" s="446"/>
      <c r="M85" s="483">
        <f t="shared" si="12"/>
        <v>0</v>
      </c>
    </row>
    <row r="86" spans="2:14" x14ac:dyDescent="0.25">
      <c r="B86" s="29" t="s">
        <v>181</v>
      </c>
      <c r="C86" s="529" t="s">
        <v>182</v>
      </c>
      <c r="D86" s="529"/>
      <c r="E86" s="441" t="s">
        <v>41</v>
      </c>
      <c r="F86" s="447"/>
      <c r="G86" s="29"/>
      <c r="H86" s="450">
        <f t="shared" ref="H86:H90" si="13">ROUND((G86*F86),0)</f>
        <v>0</v>
      </c>
      <c r="I86" s="452">
        <f>+'[1]CANTIDADES HIDROSANITARIO'!E9</f>
        <v>17.099999999999998</v>
      </c>
      <c r="J86" s="30">
        <f>+J57</f>
        <v>5752.3937745098037</v>
      </c>
      <c r="K86" s="456">
        <f t="shared" ref="K86:K90" si="14">ROUND((J86*I86),0)</f>
        <v>98366</v>
      </c>
      <c r="M86" s="483">
        <f t="shared" si="12"/>
        <v>98366</v>
      </c>
    </row>
    <row r="87" spans="2:14" x14ac:dyDescent="0.25">
      <c r="B87" s="29" t="s">
        <v>183</v>
      </c>
      <c r="C87" s="529" t="s">
        <v>184</v>
      </c>
      <c r="D87" s="529"/>
      <c r="E87" s="441" t="s">
        <v>41</v>
      </c>
      <c r="F87" s="447"/>
      <c r="G87" s="29"/>
      <c r="H87" s="450">
        <f t="shared" si="13"/>
        <v>0</v>
      </c>
      <c r="I87" s="452">
        <f>+I86</f>
        <v>17.099999999999998</v>
      </c>
      <c r="J87" s="30">
        <f t="shared" ref="J87:J90" si="15">+J58</f>
        <v>60567.673541666663</v>
      </c>
      <c r="K87" s="456">
        <f t="shared" si="14"/>
        <v>1035707</v>
      </c>
      <c r="M87" s="483">
        <f t="shared" si="12"/>
        <v>1035707</v>
      </c>
    </row>
    <row r="88" spans="2:14" ht="21" customHeight="1" x14ac:dyDescent="0.25">
      <c r="B88" s="29" t="s">
        <v>185</v>
      </c>
      <c r="C88" s="529" t="s">
        <v>186</v>
      </c>
      <c r="D88" s="529"/>
      <c r="E88" s="441" t="s">
        <v>39</v>
      </c>
      <c r="F88" s="447"/>
      <c r="G88" s="29"/>
      <c r="H88" s="450">
        <f t="shared" si="13"/>
        <v>0</v>
      </c>
      <c r="I88" s="452">
        <f>+I66</f>
        <v>192.65899999999999</v>
      </c>
      <c r="J88" s="30">
        <f t="shared" si="15"/>
        <v>3414.0454137476459</v>
      </c>
      <c r="K88" s="456">
        <f t="shared" si="14"/>
        <v>657747</v>
      </c>
      <c r="M88" s="483">
        <f t="shared" si="12"/>
        <v>657747</v>
      </c>
    </row>
    <row r="89" spans="2:14" x14ac:dyDescent="0.25">
      <c r="B89" s="29" t="s">
        <v>187</v>
      </c>
      <c r="C89" s="529" t="s">
        <v>188</v>
      </c>
      <c r="D89" s="529"/>
      <c r="E89" s="441" t="s">
        <v>189</v>
      </c>
      <c r="F89" s="447"/>
      <c r="G89" s="29"/>
      <c r="H89" s="450">
        <f t="shared" si="13"/>
        <v>0</v>
      </c>
      <c r="I89" s="452">
        <f>+[1]CANTIDADES!D449</f>
        <v>5.4005716934487018E-2</v>
      </c>
      <c r="J89" s="30">
        <f t="shared" si="15"/>
        <v>29337208.25</v>
      </c>
      <c r="K89" s="456">
        <f t="shared" si="14"/>
        <v>1584377</v>
      </c>
      <c r="M89" s="483">
        <f t="shared" si="12"/>
        <v>1584377</v>
      </c>
    </row>
    <row r="90" spans="2:14" ht="21" customHeight="1" x14ac:dyDescent="0.25">
      <c r="B90" s="29" t="s">
        <v>190</v>
      </c>
      <c r="C90" s="529" t="s">
        <v>191</v>
      </c>
      <c r="D90" s="529"/>
      <c r="E90" s="441" t="s">
        <v>58</v>
      </c>
      <c r="F90" s="447"/>
      <c r="G90" s="29"/>
      <c r="H90" s="450">
        <f t="shared" si="13"/>
        <v>0</v>
      </c>
      <c r="I90" s="452">
        <f>+'[1]CANTIDADES HIDROSANITARIO'!G52</f>
        <v>3.3032309650563043</v>
      </c>
      <c r="J90" s="30">
        <f t="shared" si="15"/>
        <v>29423.255533333333</v>
      </c>
      <c r="K90" s="456">
        <f t="shared" si="14"/>
        <v>97192</v>
      </c>
      <c r="M90" s="483">
        <f t="shared" si="12"/>
        <v>97192</v>
      </c>
    </row>
    <row r="91" spans="2:14" ht="21" customHeight="1" x14ac:dyDescent="0.25">
      <c r="B91" s="29"/>
      <c r="C91" s="548" t="s">
        <v>192</v>
      </c>
      <c r="D91" s="548"/>
      <c r="E91" s="441"/>
      <c r="F91" s="447"/>
      <c r="G91" s="29"/>
      <c r="H91" s="446">
        <f>SUM(H86:H90)</f>
        <v>0</v>
      </c>
      <c r="I91" s="547" t="s">
        <v>192</v>
      </c>
      <c r="J91" s="548"/>
      <c r="K91" s="446">
        <f>SUM(K86:K90)</f>
        <v>3473389</v>
      </c>
      <c r="M91" s="483"/>
    </row>
    <row r="92" spans="2:14" ht="21" customHeight="1" x14ac:dyDescent="0.25">
      <c r="B92" s="29"/>
      <c r="C92" s="548" t="s">
        <v>193</v>
      </c>
      <c r="D92" s="548"/>
      <c r="E92" s="441"/>
      <c r="F92" s="447"/>
      <c r="G92" s="29"/>
      <c r="H92" s="446">
        <f>+H91+H84</f>
        <v>38497680</v>
      </c>
      <c r="I92" s="547" t="s">
        <v>193</v>
      </c>
      <c r="J92" s="548"/>
      <c r="K92" s="446">
        <f>+K91+K84</f>
        <v>39127439</v>
      </c>
      <c r="M92" s="483"/>
    </row>
    <row r="93" spans="2:14" customFormat="1" ht="33" customHeight="1" thickBot="1" x14ac:dyDescent="0.3">
      <c r="F93" s="227"/>
      <c r="G93" s="228"/>
      <c r="H93" s="309"/>
      <c r="I93" s="227"/>
      <c r="J93" s="448"/>
      <c r="K93" s="449"/>
      <c r="M93" s="483">
        <f t="shared" si="12"/>
        <v>0</v>
      </c>
    </row>
    <row r="94" spans="2:14" ht="34.5" customHeight="1" thickBot="1" x14ac:dyDescent="0.3">
      <c r="B94" s="436" t="s">
        <v>66</v>
      </c>
      <c r="C94" s="437"/>
      <c r="D94" s="437"/>
      <c r="E94" s="442"/>
      <c r="F94" s="436"/>
      <c r="G94" s="437"/>
      <c r="H94" s="438"/>
      <c r="I94" s="436"/>
      <c r="J94" s="437"/>
      <c r="K94" s="438"/>
      <c r="M94" s="483">
        <f t="shared" si="12"/>
        <v>0</v>
      </c>
    </row>
    <row r="95" spans="2:14" ht="16.5" customHeight="1" x14ac:dyDescent="0.25">
      <c r="B95" s="27">
        <v>1</v>
      </c>
      <c r="C95" s="537" t="s">
        <v>62</v>
      </c>
      <c r="D95" s="537"/>
      <c r="E95" s="440" t="s">
        <v>39</v>
      </c>
      <c r="F95" s="444">
        <v>989.94549999999992</v>
      </c>
      <c r="G95" s="35">
        <v>14089.864864864865</v>
      </c>
      <c r="H95" s="445">
        <f t="shared" ref="H95:H112" si="16">ROUND((G95*F95),0)</f>
        <v>13948198</v>
      </c>
      <c r="I95" s="444">
        <f>[1]CANTIDADES!I178</f>
        <v>989.94549999999992</v>
      </c>
      <c r="J95" s="35">
        <f t="shared" ref="J95:J112" si="17">J66</f>
        <v>13071.221490062557</v>
      </c>
      <c r="K95" s="445">
        <f t="shared" ref="K95:K112" si="18">ROUND((J95*I95),0)</f>
        <v>12939797</v>
      </c>
      <c r="M95" s="483">
        <f t="shared" si="12"/>
        <v>13948198</v>
      </c>
    </row>
    <row r="96" spans="2:14" ht="34.5" customHeight="1" x14ac:dyDescent="0.25">
      <c r="B96" s="29">
        <v>2</v>
      </c>
      <c r="C96" s="529" t="s">
        <v>40</v>
      </c>
      <c r="D96" s="529"/>
      <c r="E96" s="441" t="s">
        <v>41</v>
      </c>
      <c r="F96" s="452">
        <v>699.19</v>
      </c>
      <c r="G96" s="35">
        <v>25267</v>
      </c>
      <c r="H96" s="445">
        <f t="shared" si="16"/>
        <v>17666434</v>
      </c>
      <c r="I96" s="452">
        <f>[1]CANTIDADES!I193</f>
        <v>699.19</v>
      </c>
      <c r="J96" s="35">
        <f t="shared" si="17"/>
        <v>24723</v>
      </c>
      <c r="K96" s="456">
        <f t="shared" si="18"/>
        <v>17286074</v>
      </c>
      <c r="M96" s="483">
        <f t="shared" si="12"/>
        <v>17666434</v>
      </c>
    </row>
    <row r="97" spans="2:13" ht="16.5" customHeight="1" x14ac:dyDescent="0.25">
      <c r="B97" s="29">
        <v>3</v>
      </c>
      <c r="C97" s="529" t="s">
        <v>42</v>
      </c>
      <c r="D97" s="529"/>
      <c r="E97" s="441" t="s">
        <v>41</v>
      </c>
      <c r="F97" s="452">
        <v>26.18</v>
      </c>
      <c r="G97" s="35">
        <v>61502</v>
      </c>
      <c r="H97" s="445">
        <f t="shared" si="16"/>
        <v>1610122</v>
      </c>
      <c r="I97" s="452">
        <f>13.98+12.2</f>
        <v>26.18</v>
      </c>
      <c r="J97" s="35">
        <f t="shared" si="17"/>
        <v>59066</v>
      </c>
      <c r="K97" s="456">
        <f t="shared" si="18"/>
        <v>1546348</v>
      </c>
      <c r="M97" s="483">
        <f t="shared" si="12"/>
        <v>1610122</v>
      </c>
    </row>
    <row r="98" spans="2:13" customFormat="1" ht="34.5" customHeight="1" x14ac:dyDescent="0.25">
      <c r="B98" s="29">
        <v>4</v>
      </c>
      <c r="C98" s="529" t="s">
        <v>43</v>
      </c>
      <c r="D98" s="529"/>
      <c r="E98" s="441" t="s">
        <v>39</v>
      </c>
      <c r="F98" s="452">
        <v>989.94549999999992</v>
      </c>
      <c r="G98" s="35">
        <v>102428.22222222222</v>
      </c>
      <c r="H98" s="445">
        <f t="shared" si="16"/>
        <v>101398358</v>
      </c>
      <c r="I98" s="452">
        <f>[1]CANTIDADES!I211</f>
        <v>989.94549999999992</v>
      </c>
      <c r="J98" s="35">
        <f t="shared" si="17"/>
        <v>91298.616971129333</v>
      </c>
      <c r="K98" s="456">
        <f t="shared" si="18"/>
        <v>90380655</v>
      </c>
      <c r="L98" s="23"/>
      <c r="M98" s="483">
        <f t="shared" si="12"/>
        <v>101398358</v>
      </c>
    </row>
    <row r="99" spans="2:13" customFormat="1" ht="18.75" customHeight="1" x14ac:dyDescent="0.25">
      <c r="B99" s="29">
        <v>5</v>
      </c>
      <c r="C99" s="529" t="s">
        <v>44</v>
      </c>
      <c r="D99" s="529"/>
      <c r="E99" s="441" t="s">
        <v>41</v>
      </c>
      <c r="F99" s="452">
        <v>102.7</v>
      </c>
      <c r="G99" s="35">
        <v>75345</v>
      </c>
      <c r="H99" s="445">
        <f t="shared" si="16"/>
        <v>7737932</v>
      </c>
      <c r="I99" s="452">
        <f>[1]CANTIDADES!I227</f>
        <v>102.7</v>
      </c>
      <c r="J99" s="35">
        <f t="shared" si="17"/>
        <v>74872.883300000001</v>
      </c>
      <c r="K99" s="456">
        <f t="shared" si="18"/>
        <v>7689445</v>
      </c>
      <c r="L99" s="23"/>
      <c r="M99" s="483">
        <f t="shared" si="12"/>
        <v>7737932</v>
      </c>
    </row>
    <row r="100" spans="2:13" customFormat="1" ht="33" customHeight="1" x14ac:dyDescent="0.25">
      <c r="B100" s="29">
        <v>6</v>
      </c>
      <c r="C100" s="529" t="s">
        <v>45</v>
      </c>
      <c r="D100" s="529"/>
      <c r="E100" s="441" t="s">
        <v>41</v>
      </c>
      <c r="F100" s="452">
        <v>14.48</v>
      </c>
      <c r="G100" s="35">
        <v>65173</v>
      </c>
      <c r="H100" s="445">
        <f t="shared" si="16"/>
        <v>943705</v>
      </c>
      <c r="I100" s="452">
        <f>[1]CANTIDADES!I238</f>
        <v>14.48</v>
      </c>
      <c r="J100" s="35">
        <f t="shared" si="17"/>
        <v>40022.4833</v>
      </c>
      <c r="K100" s="456">
        <f t="shared" si="18"/>
        <v>579526</v>
      </c>
      <c r="L100" s="23"/>
      <c r="M100" s="483">
        <f t="shared" si="12"/>
        <v>943705</v>
      </c>
    </row>
    <row r="101" spans="2:13" customFormat="1" ht="16.5" customHeight="1" x14ac:dyDescent="0.25">
      <c r="B101" s="29">
        <v>7</v>
      </c>
      <c r="C101" s="529" t="s">
        <v>46</v>
      </c>
      <c r="D101" s="529"/>
      <c r="E101" s="441" t="s">
        <v>41</v>
      </c>
      <c r="F101" s="452">
        <v>11.440000000000001</v>
      </c>
      <c r="G101" s="35">
        <v>63653.333333333336</v>
      </c>
      <c r="H101" s="445">
        <f t="shared" si="16"/>
        <v>728194</v>
      </c>
      <c r="I101" s="452">
        <f>[1]CANTIDADES!I249</f>
        <v>11.440000000000001</v>
      </c>
      <c r="J101" s="35">
        <f t="shared" si="17"/>
        <v>63246.588866666665</v>
      </c>
      <c r="K101" s="456">
        <f t="shared" si="18"/>
        <v>723541</v>
      </c>
      <c r="L101" s="23"/>
      <c r="M101" s="483">
        <f t="shared" si="12"/>
        <v>728194</v>
      </c>
    </row>
    <row r="102" spans="2:13" customFormat="1" ht="31.5" customHeight="1" x14ac:dyDescent="0.25">
      <c r="B102" s="29">
        <v>8</v>
      </c>
      <c r="C102" s="529" t="s">
        <v>47</v>
      </c>
      <c r="D102" s="529"/>
      <c r="E102" s="441" t="s">
        <v>41</v>
      </c>
      <c r="F102" s="452">
        <v>193</v>
      </c>
      <c r="G102" s="35">
        <v>58921.904761904756</v>
      </c>
      <c r="H102" s="445">
        <f t="shared" si="16"/>
        <v>11371928</v>
      </c>
      <c r="I102" s="452">
        <f>[1]CANTIDADES!I261</f>
        <v>193</v>
      </c>
      <c r="J102" s="35">
        <f t="shared" si="17"/>
        <v>63582.363706349206</v>
      </c>
      <c r="K102" s="456">
        <f t="shared" si="18"/>
        <v>12271396</v>
      </c>
      <c r="L102" s="23"/>
      <c r="M102" s="483">
        <f t="shared" si="12"/>
        <v>12271396</v>
      </c>
    </row>
    <row r="103" spans="2:13" customFormat="1" ht="21" customHeight="1" x14ac:dyDescent="0.25">
      <c r="B103" s="29">
        <v>9</v>
      </c>
      <c r="C103" s="529" t="s">
        <v>48</v>
      </c>
      <c r="D103" s="529"/>
      <c r="E103" s="441" t="s">
        <v>41</v>
      </c>
      <c r="F103" s="452">
        <v>21</v>
      </c>
      <c r="G103" s="35">
        <v>48840.53333333334</v>
      </c>
      <c r="H103" s="445">
        <f t="shared" si="16"/>
        <v>1025651</v>
      </c>
      <c r="I103" s="452">
        <f>+'[1]CANTIDADES HIDROSANITARIO'!$C$16</f>
        <v>21</v>
      </c>
      <c r="J103" s="35">
        <f t="shared" si="17"/>
        <v>40926.078672222218</v>
      </c>
      <c r="K103" s="456">
        <f t="shared" si="18"/>
        <v>859448</v>
      </c>
      <c r="L103" s="23"/>
      <c r="M103" s="483">
        <f t="shared" si="12"/>
        <v>1025651</v>
      </c>
    </row>
    <row r="104" spans="2:13" customFormat="1" ht="16.5" customHeight="1" x14ac:dyDescent="0.25">
      <c r="B104" s="29">
        <v>10</v>
      </c>
      <c r="C104" s="529" t="s">
        <v>49</v>
      </c>
      <c r="D104" s="529"/>
      <c r="E104" s="441" t="s">
        <v>41</v>
      </c>
      <c r="F104" s="452">
        <v>38.5</v>
      </c>
      <c r="G104" s="35">
        <v>43201.533333333333</v>
      </c>
      <c r="H104" s="445">
        <f t="shared" si="16"/>
        <v>1663259</v>
      </c>
      <c r="I104" s="452">
        <f>+'[1]CANTIDADES HIDROSANITARIO'!$C$15</f>
        <v>38.5</v>
      </c>
      <c r="J104" s="35">
        <f t="shared" si="17"/>
        <v>32566.878672222225</v>
      </c>
      <c r="K104" s="456">
        <f t="shared" si="18"/>
        <v>1253825</v>
      </c>
      <c r="L104" s="23"/>
      <c r="M104" s="483">
        <f t="shared" si="12"/>
        <v>1663259</v>
      </c>
    </row>
    <row r="105" spans="2:13" customFormat="1" ht="33" customHeight="1" x14ac:dyDescent="0.25">
      <c r="B105" s="29">
        <v>11</v>
      </c>
      <c r="C105" s="529" t="s">
        <v>63</v>
      </c>
      <c r="D105" s="529"/>
      <c r="E105" s="441" t="s">
        <v>51</v>
      </c>
      <c r="F105" s="452">
        <v>1500</v>
      </c>
      <c r="G105" s="35">
        <v>21227.8125</v>
      </c>
      <c r="H105" s="445">
        <f t="shared" si="16"/>
        <v>31841719</v>
      </c>
      <c r="I105" s="452">
        <f>+ROUND((I95/2.64)*4,0)</f>
        <v>1500</v>
      </c>
      <c r="J105" s="35">
        <f t="shared" si="17"/>
        <v>21861.074502083335</v>
      </c>
      <c r="K105" s="456">
        <f t="shared" si="18"/>
        <v>32791612</v>
      </c>
      <c r="L105" s="23"/>
      <c r="M105" s="483">
        <f t="shared" si="12"/>
        <v>32791612</v>
      </c>
    </row>
    <row r="106" spans="2:13" customFormat="1" ht="16.5" customHeight="1" x14ac:dyDescent="0.25">
      <c r="B106" s="29">
        <v>12</v>
      </c>
      <c r="C106" s="529" t="s">
        <v>52</v>
      </c>
      <c r="D106" s="529"/>
      <c r="E106" s="441" t="s">
        <v>51</v>
      </c>
      <c r="F106" s="452">
        <v>18</v>
      </c>
      <c r="G106" s="35">
        <v>458918.57</v>
      </c>
      <c r="H106" s="445">
        <f t="shared" si="16"/>
        <v>8260534</v>
      </c>
      <c r="I106" s="452">
        <f>+'[1]CANTIDADES HIDROSANITARIO'!$C$18</f>
        <v>18</v>
      </c>
      <c r="J106" s="35">
        <f t="shared" si="17"/>
        <v>346631.86067616666</v>
      </c>
      <c r="K106" s="456">
        <f t="shared" si="18"/>
        <v>6239373</v>
      </c>
      <c r="L106" s="23"/>
      <c r="M106" s="483">
        <f t="shared" si="12"/>
        <v>8260534</v>
      </c>
    </row>
    <row r="107" spans="2:13" customFormat="1" ht="33" customHeight="1" x14ac:dyDescent="0.25">
      <c r="B107" s="29">
        <v>13</v>
      </c>
      <c r="C107" s="529" t="s">
        <v>53</v>
      </c>
      <c r="D107" s="529"/>
      <c r="E107" s="441" t="s">
        <v>41</v>
      </c>
      <c r="F107" s="452">
        <v>21.000000000000004</v>
      </c>
      <c r="G107" s="35">
        <v>43872.366666666669</v>
      </c>
      <c r="H107" s="445">
        <f t="shared" si="16"/>
        <v>921320</v>
      </c>
      <c r="I107" s="452">
        <f>+'[1]CANTIDADES HIDROSANITARIO'!$C5+'[1]CANTIDADES HIDROSANITARIO'!C24</f>
        <v>21.050000000000004</v>
      </c>
      <c r="J107" s="35">
        <f t="shared" si="17"/>
        <v>34500.618008333331</v>
      </c>
      <c r="K107" s="456">
        <f t="shared" si="18"/>
        <v>726238</v>
      </c>
      <c r="L107" s="23"/>
      <c r="M107" s="483">
        <f t="shared" si="12"/>
        <v>921320</v>
      </c>
    </row>
    <row r="108" spans="2:13" customFormat="1" ht="33" customHeight="1" x14ac:dyDescent="0.25">
      <c r="B108" s="29">
        <v>14</v>
      </c>
      <c r="C108" s="529" t="s">
        <v>54</v>
      </c>
      <c r="D108" s="529"/>
      <c r="E108" s="441" t="s">
        <v>41</v>
      </c>
      <c r="F108" s="452">
        <v>114.35000000000001</v>
      </c>
      <c r="G108" s="35">
        <v>60381.366666666669</v>
      </c>
      <c r="H108" s="445">
        <f t="shared" si="16"/>
        <v>6904609</v>
      </c>
      <c r="I108" s="452">
        <f>+'[1]CANTIDADES HIDROSANITARIO'!$C6+'[1]CANTIDADES HIDROSANITARIO'!C25</f>
        <v>114.45</v>
      </c>
      <c r="J108" s="35">
        <f t="shared" si="17"/>
        <v>42507.018008333325</v>
      </c>
      <c r="K108" s="456">
        <f t="shared" si="18"/>
        <v>4864928</v>
      </c>
      <c r="L108" s="23"/>
      <c r="M108" s="483">
        <f t="shared" si="12"/>
        <v>6904609</v>
      </c>
    </row>
    <row r="109" spans="2:13" customFormat="1" ht="16.5" customHeight="1" x14ac:dyDescent="0.25">
      <c r="B109" s="29">
        <v>15</v>
      </c>
      <c r="C109" s="529" t="s">
        <v>55</v>
      </c>
      <c r="D109" s="529"/>
      <c r="E109" s="441" t="s">
        <v>41</v>
      </c>
      <c r="F109" s="452">
        <v>135.4</v>
      </c>
      <c r="G109" s="35">
        <v>79905.866666666669</v>
      </c>
      <c r="H109" s="445">
        <f t="shared" si="16"/>
        <v>10819254</v>
      </c>
      <c r="I109" s="452">
        <f>+'[1]CANTIDADES HIDROSANITARIO'!$C7+'[1]CANTIDADES HIDROSANITARIO'!C26</f>
        <v>135.39999999999998</v>
      </c>
      <c r="J109" s="35">
        <f t="shared" si="17"/>
        <v>63918.575564814819</v>
      </c>
      <c r="K109" s="456">
        <f t="shared" si="18"/>
        <v>8654575</v>
      </c>
      <c r="L109" s="23"/>
      <c r="M109" s="483">
        <f t="shared" si="12"/>
        <v>10819254</v>
      </c>
    </row>
    <row r="110" spans="2:13" customFormat="1" ht="33" customHeight="1" x14ac:dyDescent="0.25">
      <c r="B110" s="29">
        <v>16</v>
      </c>
      <c r="C110" s="529" t="s">
        <v>56</v>
      </c>
      <c r="D110" s="529"/>
      <c r="E110" s="441" t="s">
        <v>41</v>
      </c>
      <c r="F110" s="452">
        <v>0</v>
      </c>
      <c r="G110" s="35">
        <v>94332.866666666669</v>
      </c>
      <c r="H110" s="445">
        <f t="shared" si="16"/>
        <v>0</v>
      </c>
      <c r="I110" s="452">
        <f>+'[1]CANTIDADES HIDROSANITARIO'!$C8+'[1]CANTIDADES HIDROSANITARIO'!C27</f>
        <v>0</v>
      </c>
      <c r="J110" s="35">
        <f t="shared" si="17"/>
        <v>85814.354043859654</v>
      </c>
      <c r="K110" s="456">
        <f t="shared" si="18"/>
        <v>0</v>
      </c>
      <c r="L110" s="23"/>
      <c r="M110" s="483">
        <f t="shared" si="12"/>
        <v>0</v>
      </c>
    </row>
    <row r="111" spans="2:13" customFormat="1" ht="33" customHeight="1" x14ac:dyDescent="0.25">
      <c r="B111" s="29">
        <v>17</v>
      </c>
      <c r="C111" s="529" t="s">
        <v>57</v>
      </c>
      <c r="D111" s="529"/>
      <c r="E111" s="441" t="s">
        <v>58</v>
      </c>
      <c r="F111" s="452">
        <v>158.82</v>
      </c>
      <c r="G111" s="35">
        <v>33022.5</v>
      </c>
      <c r="H111" s="445">
        <f t="shared" si="16"/>
        <v>5244633</v>
      </c>
      <c r="I111" s="452">
        <f>+(I106*0.8*0.5)+(SUM('[1]CANTIDADES HIDROSANITARIO'!C5:C8,'[1]CANTIDADES HIDROSANITARIO'!C24:C27)*0.8*0.7)</f>
        <v>158.90399999999997</v>
      </c>
      <c r="J111" s="35">
        <f t="shared" si="17"/>
        <v>26403.487424999999</v>
      </c>
      <c r="K111" s="456">
        <f t="shared" si="18"/>
        <v>4195620</v>
      </c>
      <c r="L111" s="23"/>
      <c r="M111" s="483">
        <f t="shared" si="12"/>
        <v>5244633</v>
      </c>
    </row>
    <row r="112" spans="2:13" customFormat="1" ht="34.5" customHeight="1" x14ac:dyDescent="0.25">
      <c r="B112" s="29">
        <v>18</v>
      </c>
      <c r="C112" s="529" t="s">
        <v>59</v>
      </c>
      <c r="D112" s="529"/>
      <c r="E112" s="441" t="s">
        <v>58</v>
      </c>
      <c r="F112" s="452">
        <v>206.46600000000001</v>
      </c>
      <c r="G112" s="35">
        <v>22015</v>
      </c>
      <c r="H112" s="445">
        <f t="shared" si="16"/>
        <v>4545349</v>
      </c>
      <c r="I112" s="452">
        <f>+I111*1.3</f>
        <v>206.57519999999997</v>
      </c>
      <c r="J112" s="35">
        <f t="shared" si="17"/>
        <v>19558.138833333331</v>
      </c>
      <c r="K112" s="456">
        <f t="shared" si="18"/>
        <v>4040226</v>
      </c>
      <c r="L112" s="23"/>
      <c r="M112" s="483">
        <f t="shared" si="12"/>
        <v>4545349</v>
      </c>
    </row>
    <row r="113" spans="2:14" ht="32.25" customHeight="1" x14ac:dyDescent="0.25">
      <c r="B113" s="29"/>
      <c r="C113" s="550" t="s">
        <v>60</v>
      </c>
      <c r="D113" s="550"/>
      <c r="E113" s="441"/>
      <c r="F113" s="444"/>
      <c r="G113" s="28"/>
      <c r="H113" s="446">
        <f>SUM(H95:H112)</f>
        <v>226631199</v>
      </c>
      <c r="I113" s="547"/>
      <c r="J113" s="548"/>
      <c r="K113" s="446">
        <f>SUM(K95:K112)</f>
        <v>207042627</v>
      </c>
      <c r="M113" s="483"/>
      <c r="N113" s="422">
        <f>SUM(M95:M112)</f>
        <v>228480560</v>
      </c>
    </row>
    <row r="114" spans="2:14" ht="21" customHeight="1" x14ac:dyDescent="0.25">
      <c r="B114" s="29"/>
      <c r="C114" s="549" t="s">
        <v>180</v>
      </c>
      <c r="D114" s="549"/>
      <c r="E114" s="441"/>
      <c r="F114" s="447"/>
      <c r="G114" s="29"/>
      <c r="H114" s="451"/>
      <c r="I114" s="547"/>
      <c r="J114" s="548"/>
      <c r="K114" s="446"/>
      <c r="M114" s="483">
        <f t="shared" si="12"/>
        <v>0</v>
      </c>
    </row>
    <row r="115" spans="2:14" ht="21" customHeight="1" x14ac:dyDescent="0.25">
      <c r="B115" s="29" t="s">
        <v>181</v>
      </c>
      <c r="C115" s="529" t="s">
        <v>182</v>
      </c>
      <c r="D115" s="529"/>
      <c r="E115" s="441" t="s">
        <v>41</v>
      </c>
      <c r="F115" s="447"/>
      <c r="G115" s="29"/>
      <c r="H115" s="450">
        <f t="shared" ref="H115:H119" si="19">ROUND((G115*F115),0)</f>
        <v>0</v>
      </c>
      <c r="I115" s="452">
        <f>+'[1]CANTIDADES HIDROSANITARIO'!C9</f>
        <v>47.649999999999991</v>
      </c>
      <c r="J115" s="30">
        <f>+J86</f>
        <v>5752.3937745098037</v>
      </c>
      <c r="K115" s="456">
        <f t="shared" ref="K115:K119" si="20">ROUND((J115*I115),0)</f>
        <v>274102</v>
      </c>
      <c r="M115" s="483">
        <f t="shared" si="12"/>
        <v>274102</v>
      </c>
    </row>
    <row r="116" spans="2:14" ht="21" customHeight="1" x14ac:dyDescent="0.25">
      <c r="B116" s="29" t="s">
        <v>183</v>
      </c>
      <c r="C116" s="529" t="s">
        <v>184</v>
      </c>
      <c r="D116" s="529"/>
      <c r="E116" s="441" t="s">
        <v>41</v>
      </c>
      <c r="F116" s="447"/>
      <c r="G116" s="29"/>
      <c r="H116" s="450">
        <f t="shared" si="19"/>
        <v>0</v>
      </c>
      <c r="I116" s="452">
        <f>+I115</f>
        <v>47.649999999999991</v>
      </c>
      <c r="J116" s="30">
        <f t="shared" ref="J116:J119" si="21">+J87</f>
        <v>60567.673541666663</v>
      </c>
      <c r="K116" s="456">
        <f t="shared" si="20"/>
        <v>2886050</v>
      </c>
      <c r="M116" s="483">
        <f t="shared" si="12"/>
        <v>2886050</v>
      </c>
    </row>
    <row r="117" spans="2:14" ht="21" customHeight="1" x14ac:dyDescent="0.25">
      <c r="B117" s="29" t="s">
        <v>185</v>
      </c>
      <c r="C117" s="529" t="s">
        <v>186</v>
      </c>
      <c r="D117" s="529"/>
      <c r="E117" s="441" t="s">
        <v>39</v>
      </c>
      <c r="F117" s="447"/>
      <c r="G117" s="29"/>
      <c r="H117" s="450">
        <f t="shared" si="19"/>
        <v>0</v>
      </c>
      <c r="I117" s="452">
        <f>+I95</f>
        <v>989.94549999999992</v>
      </c>
      <c r="J117" s="30">
        <f t="shared" si="21"/>
        <v>3414.0454137476459</v>
      </c>
      <c r="K117" s="456">
        <f t="shared" si="20"/>
        <v>3379719</v>
      </c>
      <c r="M117" s="483">
        <f t="shared" si="12"/>
        <v>3379719</v>
      </c>
    </row>
    <row r="118" spans="2:14" ht="21" customHeight="1" x14ac:dyDescent="0.25">
      <c r="B118" s="29" t="s">
        <v>187</v>
      </c>
      <c r="C118" s="529" t="s">
        <v>188</v>
      </c>
      <c r="D118" s="529"/>
      <c r="E118" s="441" t="s">
        <v>189</v>
      </c>
      <c r="F118" s="447"/>
      <c r="G118" s="29"/>
      <c r="H118" s="450">
        <f t="shared" si="19"/>
        <v>0</v>
      </c>
      <c r="I118" s="452">
        <f>+[1]CANTIDADES!D447</f>
        <v>0.27008266378244744</v>
      </c>
      <c r="J118" s="30">
        <f t="shared" si="21"/>
        <v>29337208.25</v>
      </c>
      <c r="K118" s="456">
        <f t="shared" si="20"/>
        <v>7923471</v>
      </c>
      <c r="M118" s="483">
        <f t="shared" si="12"/>
        <v>7923471</v>
      </c>
    </row>
    <row r="119" spans="2:14" ht="21" customHeight="1" x14ac:dyDescent="0.25">
      <c r="B119" s="29" t="s">
        <v>190</v>
      </c>
      <c r="C119" s="529" t="s">
        <v>191</v>
      </c>
      <c r="D119" s="529"/>
      <c r="E119" s="441" t="s">
        <v>58</v>
      </c>
      <c r="F119" s="447"/>
      <c r="G119" s="29"/>
      <c r="H119" s="450">
        <f t="shared" si="19"/>
        <v>0</v>
      </c>
      <c r="I119" s="452">
        <f>+'[1]CANTIDADES HIDROSANITARIO'!E52</f>
        <v>65.100053602381124</v>
      </c>
      <c r="J119" s="30">
        <f t="shared" si="21"/>
        <v>29423.255533333333</v>
      </c>
      <c r="K119" s="456">
        <f t="shared" si="20"/>
        <v>1915456</v>
      </c>
      <c r="M119" s="483">
        <f t="shared" si="12"/>
        <v>1915456</v>
      </c>
    </row>
    <row r="120" spans="2:14" ht="21" customHeight="1" x14ac:dyDescent="0.25">
      <c r="B120" s="29"/>
      <c r="C120" s="548" t="s">
        <v>192</v>
      </c>
      <c r="D120" s="548"/>
      <c r="E120" s="441"/>
      <c r="F120" s="447"/>
      <c r="G120" s="29"/>
      <c r="H120" s="446">
        <f>SUM(H115:H119)</f>
        <v>0</v>
      </c>
      <c r="I120" s="547" t="s">
        <v>192</v>
      </c>
      <c r="J120" s="548"/>
      <c r="K120" s="446">
        <f>SUM(K115:K119)</f>
        <v>16378798</v>
      </c>
      <c r="M120" s="483"/>
    </row>
    <row r="121" spans="2:14" ht="21" customHeight="1" x14ac:dyDescent="0.25">
      <c r="B121" s="29"/>
      <c r="C121" s="548" t="s">
        <v>193</v>
      </c>
      <c r="D121" s="548"/>
      <c r="E121" s="441"/>
      <c r="F121" s="447"/>
      <c r="G121" s="29"/>
      <c r="H121" s="446">
        <f>+H120+H113</f>
        <v>226631199</v>
      </c>
      <c r="I121" s="547" t="s">
        <v>193</v>
      </c>
      <c r="J121" s="548"/>
      <c r="K121" s="446">
        <f>+K120+K113</f>
        <v>223421425</v>
      </c>
      <c r="M121" s="483"/>
    </row>
    <row r="122" spans="2:14" customFormat="1" ht="18" customHeight="1" thickBot="1" x14ac:dyDescent="0.3">
      <c r="F122" s="227"/>
      <c r="G122" s="228"/>
      <c r="H122" s="309"/>
      <c r="I122" s="227"/>
      <c r="J122" s="448"/>
      <c r="K122" s="449"/>
      <c r="M122" s="483">
        <f t="shared" si="12"/>
        <v>0</v>
      </c>
    </row>
    <row r="123" spans="2:14" ht="17.25" customHeight="1" thickBot="1" x14ac:dyDescent="0.3">
      <c r="B123" s="436" t="s">
        <v>67</v>
      </c>
      <c r="C123" s="437"/>
      <c r="D123" s="437"/>
      <c r="E123" s="442"/>
      <c r="F123" s="436"/>
      <c r="G123" s="437"/>
      <c r="H123" s="438"/>
      <c r="I123" s="436"/>
      <c r="J123" s="437"/>
      <c r="K123" s="438"/>
      <c r="M123" s="483">
        <f t="shared" si="12"/>
        <v>0</v>
      </c>
    </row>
    <row r="124" spans="2:14" ht="21.75" customHeight="1" x14ac:dyDescent="0.25">
      <c r="B124" s="27">
        <v>1</v>
      </c>
      <c r="C124" s="537" t="s">
        <v>62</v>
      </c>
      <c r="D124" s="537"/>
      <c r="E124" s="440" t="s">
        <v>39</v>
      </c>
      <c r="F124" s="444">
        <v>362.1395</v>
      </c>
      <c r="G124" s="35">
        <v>14089.864864864865</v>
      </c>
      <c r="H124" s="445">
        <f t="shared" ref="H124:H142" si="22">ROUND((G124*F124),0)</f>
        <v>5102497</v>
      </c>
      <c r="I124" s="444">
        <f>[1]CANTIDADES!I273</f>
        <v>362.1395</v>
      </c>
      <c r="J124" s="35">
        <f>J95</f>
        <v>13071.221490062557</v>
      </c>
      <c r="K124" s="445">
        <f t="shared" ref="K124:K142" si="23">ROUND((J124*I124),0)</f>
        <v>4733606</v>
      </c>
      <c r="M124" s="483">
        <f t="shared" si="12"/>
        <v>5102497</v>
      </c>
    </row>
    <row r="125" spans="2:14" x14ac:dyDescent="0.25">
      <c r="B125" s="29">
        <v>2</v>
      </c>
      <c r="C125" s="529" t="s">
        <v>40</v>
      </c>
      <c r="D125" s="529"/>
      <c r="E125" s="441" t="s">
        <v>41</v>
      </c>
      <c r="F125" s="452">
        <v>223.28</v>
      </c>
      <c r="G125" s="35">
        <v>25267</v>
      </c>
      <c r="H125" s="445">
        <f t="shared" si="22"/>
        <v>5641616</v>
      </c>
      <c r="I125" s="452">
        <f>[1]CANTIDADES!I289</f>
        <v>223.28</v>
      </c>
      <c r="J125" s="35">
        <f t="shared" ref="J125:J141" si="24">J96</f>
        <v>24723</v>
      </c>
      <c r="K125" s="456">
        <f t="shared" si="23"/>
        <v>5520151</v>
      </c>
      <c r="M125" s="483">
        <f t="shared" si="12"/>
        <v>5641616</v>
      </c>
    </row>
    <row r="126" spans="2:14" ht="35.1" customHeight="1" x14ac:dyDescent="0.25">
      <c r="B126" s="29">
        <v>3</v>
      </c>
      <c r="C126" s="529" t="s">
        <v>42</v>
      </c>
      <c r="D126" s="529"/>
      <c r="E126" s="441" t="s">
        <v>41</v>
      </c>
      <c r="F126" s="452">
        <v>57</v>
      </c>
      <c r="G126" s="35">
        <v>61502</v>
      </c>
      <c r="H126" s="445">
        <f t="shared" si="22"/>
        <v>3505614</v>
      </c>
      <c r="I126" s="452">
        <v>57</v>
      </c>
      <c r="J126" s="35">
        <f t="shared" si="24"/>
        <v>59066</v>
      </c>
      <c r="K126" s="456">
        <f t="shared" si="23"/>
        <v>3366762</v>
      </c>
      <c r="M126" s="483">
        <f t="shared" si="12"/>
        <v>3505614</v>
      </c>
    </row>
    <row r="127" spans="2:14" ht="24.6" customHeight="1" x14ac:dyDescent="0.25">
      <c r="B127" s="29">
        <v>4</v>
      </c>
      <c r="C127" s="529" t="s">
        <v>43</v>
      </c>
      <c r="D127" s="529"/>
      <c r="E127" s="441" t="s">
        <v>39</v>
      </c>
      <c r="F127" s="452">
        <v>362.1395</v>
      </c>
      <c r="G127" s="35">
        <v>102428.22222222222</v>
      </c>
      <c r="H127" s="445">
        <f t="shared" si="22"/>
        <v>37093305</v>
      </c>
      <c r="I127" s="452">
        <f>[1]CANTIDADES!I301</f>
        <v>362.1395</v>
      </c>
      <c r="J127" s="35">
        <f t="shared" si="24"/>
        <v>91298.616971129333</v>
      </c>
      <c r="K127" s="456">
        <f t="shared" si="23"/>
        <v>33062836</v>
      </c>
      <c r="M127" s="483">
        <f t="shared" si="12"/>
        <v>37093305</v>
      </c>
    </row>
    <row r="128" spans="2:14" ht="21" customHeight="1" x14ac:dyDescent="0.25">
      <c r="B128" s="29">
        <v>5</v>
      </c>
      <c r="C128" s="529" t="s">
        <v>44</v>
      </c>
      <c r="D128" s="529"/>
      <c r="E128" s="441" t="s">
        <v>41</v>
      </c>
      <c r="F128" s="452">
        <v>29.41</v>
      </c>
      <c r="G128" s="35">
        <v>75345</v>
      </c>
      <c r="H128" s="445">
        <f t="shared" si="22"/>
        <v>2215896</v>
      </c>
      <c r="I128" s="452">
        <f>[1]CANTIDADES!I312</f>
        <v>29.41</v>
      </c>
      <c r="J128" s="35">
        <f t="shared" si="24"/>
        <v>74872.883300000001</v>
      </c>
      <c r="K128" s="456">
        <f t="shared" si="23"/>
        <v>2202011</v>
      </c>
      <c r="M128" s="483">
        <f t="shared" si="12"/>
        <v>2215896</v>
      </c>
    </row>
    <row r="129" spans="2:14" ht="18" customHeight="1" x14ac:dyDescent="0.25">
      <c r="B129" s="29">
        <v>6</v>
      </c>
      <c r="C129" s="529" t="s">
        <v>45</v>
      </c>
      <c r="D129" s="529"/>
      <c r="E129" s="441" t="s">
        <v>41</v>
      </c>
      <c r="F129" s="452">
        <v>0</v>
      </c>
      <c r="G129" s="35">
        <v>65173</v>
      </c>
      <c r="H129" s="445">
        <f t="shared" si="22"/>
        <v>0</v>
      </c>
      <c r="I129" s="452">
        <v>0</v>
      </c>
      <c r="J129" s="35">
        <f t="shared" si="24"/>
        <v>40022.4833</v>
      </c>
      <c r="K129" s="456">
        <f t="shared" si="23"/>
        <v>0</v>
      </c>
      <c r="M129" s="483">
        <f t="shared" si="12"/>
        <v>0</v>
      </c>
    </row>
    <row r="130" spans="2:14" customFormat="1" x14ac:dyDescent="0.25">
      <c r="B130" s="29">
        <v>7</v>
      </c>
      <c r="C130" s="529" t="s">
        <v>46</v>
      </c>
      <c r="D130" s="529"/>
      <c r="E130" s="441" t="s">
        <v>41</v>
      </c>
      <c r="F130" s="452">
        <v>0</v>
      </c>
      <c r="G130" s="35">
        <v>63653.333333333336</v>
      </c>
      <c r="H130" s="445">
        <f t="shared" si="22"/>
        <v>0</v>
      </c>
      <c r="I130" s="452">
        <v>0</v>
      </c>
      <c r="J130" s="35">
        <f t="shared" si="24"/>
        <v>63246.588866666665</v>
      </c>
      <c r="K130" s="456">
        <f t="shared" si="23"/>
        <v>0</v>
      </c>
      <c r="L130" s="23"/>
      <c r="M130" s="483">
        <f t="shared" si="12"/>
        <v>0</v>
      </c>
    </row>
    <row r="131" spans="2:14" customFormat="1" ht="28.35" customHeight="1" x14ac:dyDescent="0.25">
      <c r="B131" s="29">
        <v>8</v>
      </c>
      <c r="C131" s="529" t="s">
        <v>47</v>
      </c>
      <c r="D131" s="529"/>
      <c r="E131" s="441" t="s">
        <v>41</v>
      </c>
      <c r="F131" s="452">
        <v>66.099999999999994</v>
      </c>
      <c r="G131" s="35">
        <v>58921.904761904756</v>
      </c>
      <c r="H131" s="445">
        <f t="shared" si="22"/>
        <v>3894738</v>
      </c>
      <c r="I131" s="452">
        <f>[1]CANTIDADES!I324</f>
        <v>66.099999999999994</v>
      </c>
      <c r="J131" s="35">
        <f t="shared" si="24"/>
        <v>63582.363706349206</v>
      </c>
      <c r="K131" s="456">
        <f t="shared" si="23"/>
        <v>4202794</v>
      </c>
      <c r="L131" s="23"/>
      <c r="M131" s="483">
        <f t="shared" si="12"/>
        <v>4202794</v>
      </c>
    </row>
    <row r="132" spans="2:14" customFormat="1" x14ac:dyDescent="0.25">
      <c r="B132" s="29">
        <v>9</v>
      </c>
      <c r="C132" s="529" t="s">
        <v>48</v>
      </c>
      <c r="D132" s="529"/>
      <c r="E132" s="441" t="s">
        <v>41</v>
      </c>
      <c r="F132" s="452">
        <v>3.5</v>
      </c>
      <c r="G132" s="35">
        <v>48840.53333333334</v>
      </c>
      <c r="H132" s="445">
        <f t="shared" si="22"/>
        <v>170942</v>
      </c>
      <c r="I132" s="452">
        <v>3.5</v>
      </c>
      <c r="J132" s="35">
        <f t="shared" si="24"/>
        <v>40926.078672222218</v>
      </c>
      <c r="K132" s="456">
        <f t="shared" si="23"/>
        <v>143241</v>
      </c>
      <c r="L132" s="23"/>
      <c r="M132" s="483">
        <f t="shared" si="12"/>
        <v>170942</v>
      </c>
    </row>
    <row r="133" spans="2:14" customFormat="1" ht="18.75" customHeight="1" x14ac:dyDescent="0.25">
      <c r="B133" s="29">
        <v>10</v>
      </c>
      <c r="C133" s="529" t="s">
        <v>49</v>
      </c>
      <c r="D133" s="529"/>
      <c r="E133" s="441" t="s">
        <v>41</v>
      </c>
      <c r="F133" s="452">
        <v>28</v>
      </c>
      <c r="G133" s="35">
        <v>43201.533333333333</v>
      </c>
      <c r="H133" s="445">
        <f t="shared" si="22"/>
        <v>1209643</v>
      </c>
      <c r="I133" s="452">
        <v>28</v>
      </c>
      <c r="J133" s="35">
        <f t="shared" si="24"/>
        <v>32566.878672222225</v>
      </c>
      <c r="K133" s="456">
        <f t="shared" si="23"/>
        <v>911873</v>
      </c>
      <c r="L133" s="23"/>
      <c r="M133" s="483">
        <f t="shared" si="12"/>
        <v>1209643</v>
      </c>
    </row>
    <row r="134" spans="2:14" customFormat="1" ht="22.5" customHeight="1" x14ac:dyDescent="0.25">
      <c r="B134" s="29">
        <v>11</v>
      </c>
      <c r="C134" s="529" t="s">
        <v>63</v>
      </c>
      <c r="D134" s="529"/>
      <c r="E134" s="441" t="s">
        <v>51</v>
      </c>
      <c r="F134" s="452">
        <v>549</v>
      </c>
      <c r="G134" s="35">
        <v>21227.8125</v>
      </c>
      <c r="H134" s="445">
        <f t="shared" si="22"/>
        <v>11654069</v>
      </c>
      <c r="I134" s="452">
        <f>+ROUND((I124/2.64)*4,0)</f>
        <v>549</v>
      </c>
      <c r="J134" s="35">
        <f t="shared" si="24"/>
        <v>21861.074502083335</v>
      </c>
      <c r="K134" s="456">
        <f t="shared" si="23"/>
        <v>12001730</v>
      </c>
      <c r="L134" s="23"/>
      <c r="M134" s="483">
        <f t="shared" si="12"/>
        <v>12001730</v>
      </c>
    </row>
    <row r="135" spans="2:14" customFormat="1" x14ac:dyDescent="0.25">
      <c r="B135" s="29">
        <v>12</v>
      </c>
      <c r="C135" s="529" t="s">
        <v>52</v>
      </c>
      <c r="D135" s="529"/>
      <c r="E135" s="441" t="s">
        <v>51</v>
      </c>
      <c r="F135" s="452">
        <v>5</v>
      </c>
      <c r="G135" s="35">
        <v>458918.57</v>
      </c>
      <c r="H135" s="445">
        <f t="shared" si="22"/>
        <v>2294593</v>
      </c>
      <c r="I135" s="452">
        <v>5</v>
      </c>
      <c r="J135" s="35">
        <f t="shared" si="24"/>
        <v>346631.86067616666</v>
      </c>
      <c r="K135" s="456">
        <f t="shared" si="23"/>
        <v>1733159</v>
      </c>
      <c r="L135" s="23"/>
      <c r="M135" s="483">
        <f t="shared" si="12"/>
        <v>2294593</v>
      </c>
    </row>
    <row r="136" spans="2:14" customFormat="1" x14ac:dyDescent="0.25">
      <c r="B136" s="29">
        <v>13</v>
      </c>
      <c r="C136" s="529" t="s">
        <v>53</v>
      </c>
      <c r="D136" s="529"/>
      <c r="E136" s="441" t="s">
        <v>41</v>
      </c>
      <c r="F136" s="452">
        <v>8.2999999999999989</v>
      </c>
      <c r="G136" s="35">
        <v>43872.366666666669</v>
      </c>
      <c r="H136" s="445">
        <f t="shared" si="22"/>
        <v>364141</v>
      </c>
      <c r="I136" s="452">
        <f>+'[1]CANTIDADES HIDROSANITARIO'!$D5+'[1]CANTIDADES HIDROSANITARIO'!D24</f>
        <v>8.2999999999999989</v>
      </c>
      <c r="J136" s="35">
        <f t="shared" si="24"/>
        <v>34500.618008333331</v>
      </c>
      <c r="K136" s="456">
        <f t="shared" si="23"/>
        <v>286355</v>
      </c>
      <c r="L136" s="23"/>
      <c r="M136" s="483">
        <f t="shared" si="12"/>
        <v>364141</v>
      </c>
    </row>
    <row r="137" spans="2:14" customFormat="1" x14ac:dyDescent="0.25">
      <c r="B137" s="29">
        <v>14</v>
      </c>
      <c r="C137" s="529" t="s">
        <v>65</v>
      </c>
      <c r="D137" s="529"/>
      <c r="E137" s="441" t="s">
        <v>41</v>
      </c>
      <c r="F137" s="452">
        <v>2.9</v>
      </c>
      <c r="G137" s="35">
        <v>60381.366666666669</v>
      </c>
      <c r="H137" s="445">
        <f t="shared" si="22"/>
        <v>175106</v>
      </c>
      <c r="I137" s="452">
        <f>+'[1]CANTIDADES HIDROSANITARIO'!$D6+'[1]CANTIDADES HIDROSANITARIO'!D25</f>
        <v>2.9</v>
      </c>
      <c r="J137" s="35">
        <f t="shared" si="24"/>
        <v>42507.018008333325</v>
      </c>
      <c r="K137" s="456">
        <f t="shared" si="23"/>
        <v>123270</v>
      </c>
      <c r="L137" s="23"/>
      <c r="M137" s="483">
        <f t="shared" ref="M137:M149" si="25">+MAX(K137,H137)</f>
        <v>175106</v>
      </c>
    </row>
    <row r="138" spans="2:14" customFormat="1" x14ac:dyDescent="0.25">
      <c r="B138" s="29">
        <v>15</v>
      </c>
      <c r="C138" s="529" t="s">
        <v>55</v>
      </c>
      <c r="D138" s="529"/>
      <c r="E138" s="441" t="s">
        <v>41</v>
      </c>
      <c r="F138" s="452">
        <v>33.5</v>
      </c>
      <c r="G138" s="35">
        <v>79905.866666666669</v>
      </c>
      <c r="H138" s="445">
        <f t="shared" si="22"/>
        <v>2676847</v>
      </c>
      <c r="I138" s="452">
        <f>+'[1]CANTIDADES HIDROSANITARIO'!$D7+'[1]CANTIDADES HIDROSANITARIO'!D26</f>
        <v>33.5</v>
      </c>
      <c r="J138" s="35">
        <f t="shared" si="24"/>
        <v>63918.575564814819</v>
      </c>
      <c r="K138" s="456">
        <f t="shared" si="23"/>
        <v>2141272</v>
      </c>
      <c r="L138" s="23"/>
      <c r="M138" s="483">
        <f t="shared" si="25"/>
        <v>2676847</v>
      </c>
    </row>
    <row r="139" spans="2:14" customFormat="1" x14ac:dyDescent="0.25">
      <c r="B139" s="29">
        <v>16</v>
      </c>
      <c r="C139" s="529" t="s">
        <v>56</v>
      </c>
      <c r="D139" s="529"/>
      <c r="E139" s="441" t="s">
        <v>41</v>
      </c>
      <c r="F139" s="452">
        <v>0</v>
      </c>
      <c r="G139" s="35">
        <v>94332.866666666669</v>
      </c>
      <c r="H139" s="445">
        <f t="shared" si="22"/>
        <v>0</v>
      </c>
      <c r="I139" s="452">
        <f>+'[1]CANTIDADES HIDROSANITARIO'!$D8+'[1]CANTIDADES HIDROSANITARIO'!D27</f>
        <v>0</v>
      </c>
      <c r="J139" s="35">
        <f t="shared" si="24"/>
        <v>85814.354043859654</v>
      </c>
      <c r="K139" s="456">
        <f t="shared" si="23"/>
        <v>0</v>
      </c>
      <c r="L139" s="23"/>
      <c r="M139" s="483">
        <f t="shared" si="25"/>
        <v>0</v>
      </c>
    </row>
    <row r="140" spans="2:14" customFormat="1" x14ac:dyDescent="0.25">
      <c r="B140" s="29">
        <v>17</v>
      </c>
      <c r="C140" s="529" t="s">
        <v>57</v>
      </c>
      <c r="D140" s="529"/>
      <c r="E140" s="441" t="s">
        <v>58</v>
      </c>
      <c r="F140" s="452">
        <v>27.832000000000001</v>
      </c>
      <c r="G140" s="35">
        <v>33022.5</v>
      </c>
      <c r="H140" s="445">
        <f t="shared" si="22"/>
        <v>919082</v>
      </c>
      <c r="I140" s="452">
        <f>+(I135*0.7*0.8)+(SUM('[1]CANTIDADES HIDROSANITARIO'!D5:D8,'[1]CANTIDADES HIDROSANITARIO'!D24:D27)*0.7*0.8)</f>
        <v>27.832000000000001</v>
      </c>
      <c r="J140" s="35">
        <f t="shared" si="24"/>
        <v>26403.487424999999</v>
      </c>
      <c r="K140" s="456">
        <f t="shared" si="23"/>
        <v>734862</v>
      </c>
      <c r="L140" s="23"/>
      <c r="M140" s="483">
        <f t="shared" si="25"/>
        <v>919082</v>
      </c>
    </row>
    <row r="141" spans="2:14" customFormat="1" ht="27.6" customHeight="1" x14ac:dyDescent="0.25">
      <c r="B141" s="29">
        <v>18</v>
      </c>
      <c r="C141" s="529" t="s">
        <v>59</v>
      </c>
      <c r="D141" s="529"/>
      <c r="E141" s="441" t="s">
        <v>58</v>
      </c>
      <c r="F141" s="452">
        <v>36.181600000000003</v>
      </c>
      <c r="G141" s="35">
        <v>22015</v>
      </c>
      <c r="H141" s="445">
        <f t="shared" si="22"/>
        <v>796538</v>
      </c>
      <c r="I141" s="452">
        <f>+I140*1.3</f>
        <v>36.181600000000003</v>
      </c>
      <c r="J141" s="35">
        <f t="shared" si="24"/>
        <v>19558.138833333331</v>
      </c>
      <c r="K141" s="456">
        <f t="shared" si="23"/>
        <v>707645</v>
      </c>
      <c r="L141" s="23"/>
      <c r="M141" s="483">
        <f t="shared" si="25"/>
        <v>796538</v>
      </c>
    </row>
    <row r="142" spans="2:14" customFormat="1" ht="30.75" customHeight="1" x14ac:dyDescent="0.25">
      <c r="B142" s="29">
        <v>21</v>
      </c>
      <c r="C142" s="529" t="s">
        <v>68</v>
      </c>
      <c r="D142" s="529"/>
      <c r="E142" s="441" t="s">
        <v>41</v>
      </c>
      <c r="F142" s="452">
        <v>88.58</v>
      </c>
      <c r="G142" s="30">
        <v>26027</v>
      </c>
      <c r="H142" s="445">
        <f t="shared" si="22"/>
        <v>2305472</v>
      </c>
      <c r="I142" s="452">
        <f>+[1]CANTIDADES!$D$286+[1]CANTIDADES!$D$288</f>
        <v>88.58</v>
      </c>
      <c r="J142" s="30">
        <f>[1]APUS!H852</f>
        <v>24563.399020000001</v>
      </c>
      <c r="K142" s="456">
        <f t="shared" si="23"/>
        <v>2175826</v>
      </c>
      <c r="L142" s="23"/>
      <c r="M142" s="483">
        <f t="shared" si="25"/>
        <v>2305472</v>
      </c>
    </row>
    <row r="143" spans="2:14" ht="32.25" customHeight="1" x14ac:dyDescent="0.25">
      <c r="B143" s="29"/>
      <c r="C143" s="550" t="s">
        <v>60</v>
      </c>
      <c r="D143" s="550"/>
      <c r="E143" s="441"/>
      <c r="F143" s="444"/>
      <c r="G143" s="35"/>
      <c r="H143" s="446">
        <f>SUM(H124:H142)</f>
        <v>80020099</v>
      </c>
      <c r="I143" s="547"/>
      <c r="J143" s="548"/>
      <c r="K143" s="446">
        <f>SUM(K124:K142)</f>
        <v>74047393</v>
      </c>
      <c r="M143" s="483"/>
      <c r="N143" s="422">
        <f>SUM(M124:M142)</f>
        <v>80675816</v>
      </c>
    </row>
    <row r="144" spans="2:14" customFormat="1" ht="21" customHeight="1" x14ac:dyDescent="0.25">
      <c r="B144" s="29"/>
      <c r="C144" s="549" t="s">
        <v>180</v>
      </c>
      <c r="D144" s="549"/>
      <c r="E144" s="441"/>
      <c r="F144" s="447"/>
      <c r="G144" s="29"/>
      <c r="H144" s="451"/>
      <c r="I144" s="547"/>
      <c r="J144" s="548"/>
      <c r="K144" s="446"/>
      <c r="L144" s="23"/>
      <c r="M144" s="483">
        <f t="shared" si="25"/>
        <v>0</v>
      </c>
    </row>
    <row r="145" spans="2:14" customFormat="1" ht="21" customHeight="1" x14ac:dyDescent="0.25">
      <c r="B145" s="29" t="s">
        <v>181</v>
      </c>
      <c r="C145" s="529" t="s">
        <v>182</v>
      </c>
      <c r="D145" s="529"/>
      <c r="E145" s="441" t="s">
        <v>41</v>
      </c>
      <c r="F145" s="447"/>
      <c r="G145" s="29"/>
      <c r="H145" s="450">
        <f t="shared" ref="H145:H149" si="26">ROUND((G145*F145),0)</f>
        <v>0</v>
      </c>
      <c r="I145" s="452">
        <f>+'[1]CANTIDADES HIDROSANITARIO'!D9</f>
        <v>44.7</v>
      </c>
      <c r="J145" s="30">
        <f>+J115</f>
        <v>5752.3937745098037</v>
      </c>
      <c r="K145" s="456">
        <f t="shared" ref="K145:K149" si="27">ROUND((J145*I145),0)</f>
        <v>257132</v>
      </c>
      <c r="L145" s="23"/>
      <c r="M145" s="483">
        <f t="shared" si="25"/>
        <v>257132</v>
      </c>
    </row>
    <row r="146" spans="2:14" customFormat="1" ht="21" customHeight="1" x14ac:dyDescent="0.25">
      <c r="B146" s="29" t="s">
        <v>183</v>
      </c>
      <c r="C146" s="529" t="s">
        <v>184</v>
      </c>
      <c r="D146" s="529"/>
      <c r="E146" s="441" t="s">
        <v>41</v>
      </c>
      <c r="F146" s="447"/>
      <c r="G146" s="29"/>
      <c r="H146" s="450">
        <f t="shared" si="26"/>
        <v>0</v>
      </c>
      <c r="I146" s="452">
        <f>+I145</f>
        <v>44.7</v>
      </c>
      <c r="J146" s="30">
        <f t="shared" ref="J146:J149" si="28">+J116</f>
        <v>60567.673541666663</v>
      </c>
      <c r="K146" s="456">
        <f t="shared" si="27"/>
        <v>2707375</v>
      </c>
      <c r="L146" s="23"/>
      <c r="M146" s="483">
        <f t="shared" si="25"/>
        <v>2707375</v>
      </c>
    </row>
    <row r="147" spans="2:14" customFormat="1" ht="21" customHeight="1" x14ac:dyDescent="0.25">
      <c r="B147" s="29" t="s">
        <v>185</v>
      </c>
      <c r="C147" s="529" t="s">
        <v>186</v>
      </c>
      <c r="D147" s="529"/>
      <c r="E147" s="441" t="s">
        <v>39</v>
      </c>
      <c r="F147" s="447"/>
      <c r="G147" s="29"/>
      <c r="H147" s="450">
        <f t="shared" si="26"/>
        <v>0</v>
      </c>
      <c r="I147" s="452">
        <f>+I124</f>
        <v>362.1395</v>
      </c>
      <c r="J147" s="30">
        <f t="shared" si="28"/>
        <v>3414.0454137476459</v>
      </c>
      <c r="K147" s="456">
        <f t="shared" si="27"/>
        <v>1236361</v>
      </c>
      <c r="L147" s="23"/>
      <c r="M147" s="483">
        <f t="shared" si="25"/>
        <v>1236361</v>
      </c>
    </row>
    <row r="148" spans="2:14" customFormat="1" ht="21" customHeight="1" x14ac:dyDescent="0.25">
      <c r="B148" s="29" t="s">
        <v>187</v>
      </c>
      <c r="C148" s="529" t="s">
        <v>188</v>
      </c>
      <c r="D148" s="529"/>
      <c r="E148" s="441" t="s">
        <v>189</v>
      </c>
      <c r="F148" s="447"/>
      <c r="G148" s="29"/>
      <c r="H148" s="450">
        <f t="shared" si="26"/>
        <v>0</v>
      </c>
      <c r="I148" s="452">
        <f>+[1]CANTIDADES!D450</f>
        <v>8.6248454882571074E-2</v>
      </c>
      <c r="J148" s="30">
        <f t="shared" si="28"/>
        <v>29337208.25</v>
      </c>
      <c r="K148" s="456">
        <f t="shared" si="27"/>
        <v>2530289</v>
      </c>
      <c r="L148" s="23"/>
      <c r="M148" s="483">
        <f t="shared" si="25"/>
        <v>2530289</v>
      </c>
    </row>
    <row r="149" spans="2:14" customFormat="1" ht="21" customHeight="1" x14ac:dyDescent="0.25">
      <c r="B149" s="29" t="s">
        <v>190</v>
      </c>
      <c r="C149" s="529" t="s">
        <v>191</v>
      </c>
      <c r="D149" s="529"/>
      <c r="E149" s="441" t="s">
        <v>58</v>
      </c>
      <c r="F149" s="447"/>
      <c r="G149" s="29"/>
      <c r="H149" s="450">
        <f t="shared" si="26"/>
        <v>0</v>
      </c>
      <c r="I149" s="452">
        <f>+'[1]CANTIDADES HIDROSANITARIO'!F52</f>
        <v>13.389787330870696</v>
      </c>
      <c r="J149" s="30">
        <f t="shared" si="28"/>
        <v>29423.255533333333</v>
      </c>
      <c r="K149" s="456">
        <f t="shared" si="27"/>
        <v>393971</v>
      </c>
      <c r="L149" s="23"/>
      <c r="M149" s="483">
        <f t="shared" si="25"/>
        <v>393971</v>
      </c>
    </row>
    <row r="150" spans="2:14" customFormat="1" ht="21" customHeight="1" x14ac:dyDescent="0.25">
      <c r="B150" s="29"/>
      <c r="C150" s="548" t="s">
        <v>192</v>
      </c>
      <c r="D150" s="548"/>
      <c r="E150" s="441"/>
      <c r="F150" s="447"/>
      <c r="G150" s="29"/>
      <c r="H150" s="446">
        <f>SUM(H145:H149)</f>
        <v>0</v>
      </c>
      <c r="I150" s="547" t="s">
        <v>192</v>
      </c>
      <c r="J150" s="548"/>
      <c r="K150" s="446">
        <f>SUM(K145:K149)</f>
        <v>7125128</v>
      </c>
      <c r="L150" s="23"/>
      <c r="M150" s="483"/>
    </row>
    <row r="151" spans="2:14" customFormat="1" ht="21" customHeight="1" thickBot="1" x14ac:dyDescent="0.3">
      <c r="B151" s="29"/>
      <c r="C151" s="548" t="s">
        <v>193</v>
      </c>
      <c r="D151" s="548"/>
      <c r="E151" s="441"/>
      <c r="F151" s="453"/>
      <c r="G151" s="454"/>
      <c r="H151" s="455">
        <f>+H150+H143</f>
        <v>80020099</v>
      </c>
      <c r="I151" s="551" t="s">
        <v>193</v>
      </c>
      <c r="J151" s="552"/>
      <c r="K151" s="455">
        <f>+K150+K143</f>
        <v>81172521</v>
      </c>
      <c r="L151" s="23"/>
      <c r="M151" s="483"/>
    </row>
    <row r="152" spans="2:14" customFormat="1" ht="18" customHeight="1" thickBot="1" x14ac:dyDescent="0.3">
      <c r="J152" s="422"/>
      <c r="K152" s="422"/>
    </row>
    <row r="153" spans="2:14" customFormat="1" ht="17.25" hidden="1" thickBot="1" x14ac:dyDescent="0.3">
      <c r="B153" s="32"/>
      <c r="C153" s="190"/>
      <c r="D153" s="190" t="s">
        <v>12</v>
      </c>
      <c r="E153" s="32"/>
      <c r="F153" s="32"/>
      <c r="G153" s="32"/>
      <c r="H153" s="32"/>
      <c r="I153" s="33"/>
      <c r="J153" s="34"/>
      <c r="K153" s="34">
        <f>+'[1]RESUMEN OBRA'!H32</f>
        <v>71693899</v>
      </c>
      <c r="L153" s="23"/>
    </row>
    <row r="154" spans="2:14" customFormat="1" ht="17.25" hidden="1" thickBot="1" x14ac:dyDescent="0.3">
      <c r="B154" s="32"/>
      <c r="C154" s="190"/>
      <c r="D154" s="190"/>
      <c r="E154" s="32"/>
      <c r="F154" s="32"/>
      <c r="G154" s="32"/>
      <c r="H154" s="32"/>
      <c r="I154" s="33"/>
      <c r="J154" s="34"/>
      <c r="K154" s="34"/>
      <c r="L154" s="23"/>
    </row>
    <row r="155" spans="2:14" customFormat="1" x14ac:dyDescent="0.25">
      <c r="B155" s="23"/>
      <c r="C155" s="36"/>
      <c r="D155" s="457" t="s">
        <v>69</v>
      </c>
      <c r="E155" s="467"/>
      <c r="F155" s="457"/>
      <c r="G155" s="458"/>
      <c r="H155" s="425">
        <f>H26+H55+H84+H113+H143+H153</f>
        <v>827716684</v>
      </c>
      <c r="I155" s="471"/>
      <c r="J155" s="459"/>
      <c r="K155" s="460">
        <f>K26+K55+K84+K113+K143+K153</f>
        <v>831602046</v>
      </c>
      <c r="L155" s="23"/>
      <c r="M155" s="422">
        <f>SUM(M8:M154)</f>
        <v>906422944</v>
      </c>
      <c r="N155" s="422">
        <f>+M155-K155</f>
        <v>74820898</v>
      </c>
    </row>
    <row r="156" spans="2:14" customFormat="1" x14ac:dyDescent="0.25">
      <c r="B156" s="23"/>
      <c r="C156" s="23"/>
      <c r="D156" s="461" t="s">
        <v>70</v>
      </c>
      <c r="E156" s="468"/>
      <c r="F156" s="461"/>
      <c r="G156" s="37">
        <v>0.22</v>
      </c>
      <c r="H156" s="426">
        <f>ROUND($H$155*G156,0)</f>
        <v>182097670</v>
      </c>
      <c r="I156" s="461"/>
      <c r="J156" s="37">
        <v>0.22</v>
      </c>
      <c r="K156" s="426">
        <f>ROUND($K$155*J156,0)</f>
        <v>182952450</v>
      </c>
      <c r="L156" s="23"/>
      <c r="M156" s="422">
        <f>+$M$155*J156</f>
        <v>199413047.68000001</v>
      </c>
      <c r="N156" s="422">
        <f t="shared" ref="N156:N163" si="29">+M156-K156</f>
        <v>16460597.680000007</v>
      </c>
    </row>
    <row r="157" spans="2:14" customFormat="1" x14ac:dyDescent="0.25">
      <c r="B157" s="23"/>
      <c r="C157" s="23"/>
      <c r="D157" s="461" t="s">
        <v>71</v>
      </c>
      <c r="E157" s="468"/>
      <c r="F157" s="461"/>
      <c r="G157" s="37">
        <v>0.05</v>
      </c>
      <c r="H157" s="426">
        <f t="shared" ref="H157:H158" si="30">ROUND($H$155*G157,0)</f>
        <v>41385834</v>
      </c>
      <c r="I157" s="461"/>
      <c r="J157" s="37">
        <v>0.05</v>
      </c>
      <c r="K157" s="426">
        <f>ROUND($K$155*J157,0)</f>
        <v>41580102</v>
      </c>
      <c r="L157" s="23"/>
      <c r="M157" s="422">
        <f t="shared" ref="M157:M158" si="31">+$M$155*J157</f>
        <v>45321147.200000003</v>
      </c>
      <c r="N157" s="422">
        <f t="shared" si="29"/>
        <v>3741045.200000003</v>
      </c>
    </row>
    <row r="158" spans="2:14" customFormat="1" x14ac:dyDescent="0.25">
      <c r="B158" s="23"/>
      <c r="C158" s="23"/>
      <c r="D158" s="461" t="s">
        <v>72</v>
      </c>
      <c r="E158" s="468"/>
      <c r="F158" s="461"/>
      <c r="G158" s="37">
        <v>0.03</v>
      </c>
      <c r="H158" s="426">
        <f t="shared" si="30"/>
        <v>24831501</v>
      </c>
      <c r="I158" s="461"/>
      <c r="J158" s="37">
        <v>0.03</v>
      </c>
      <c r="K158" s="426">
        <f>ROUND($K$155*J158,0)</f>
        <v>24948061</v>
      </c>
      <c r="L158" s="23"/>
      <c r="M158" s="422">
        <f t="shared" si="31"/>
        <v>27192688.32</v>
      </c>
      <c r="N158" s="422">
        <f t="shared" si="29"/>
        <v>2244627.3200000003</v>
      </c>
    </row>
    <row r="159" spans="2:14" customFormat="1" x14ac:dyDescent="0.25">
      <c r="B159" s="23"/>
      <c r="C159" s="23"/>
      <c r="D159" s="461" t="s">
        <v>73</v>
      </c>
      <c r="E159" s="468"/>
      <c r="F159" s="461"/>
      <c r="G159" s="462"/>
      <c r="H159" s="426">
        <f>+H157*0.19</f>
        <v>7863308.46</v>
      </c>
      <c r="I159" s="461"/>
      <c r="J159" s="428"/>
      <c r="K159" s="426">
        <f>+ROUND(K157*0.19,0)</f>
        <v>7900219</v>
      </c>
      <c r="L159" s="23"/>
      <c r="M159" s="422">
        <f>+M157*0.19</f>
        <v>8611017.9680000003</v>
      </c>
      <c r="N159" s="422">
        <f t="shared" si="29"/>
        <v>710798.96800000034</v>
      </c>
    </row>
    <row r="160" spans="2:14" customFormat="1" x14ac:dyDescent="0.25">
      <c r="B160" s="23"/>
      <c r="C160" s="23"/>
      <c r="D160" s="461" t="s">
        <v>74</v>
      </c>
      <c r="E160" s="468"/>
      <c r="F160" s="461"/>
      <c r="G160" s="462"/>
      <c r="H160" s="426">
        <f>SUM(H156:H159)</f>
        <v>256178313.46000001</v>
      </c>
      <c r="I160" s="461"/>
      <c r="J160" s="462"/>
      <c r="K160" s="426">
        <f>SUM(K156:K159)</f>
        <v>257380832</v>
      </c>
      <c r="L160" s="23"/>
      <c r="M160" s="422">
        <f>SUM(M156:M159)</f>
        <v>280537901.16799998</v>
      </c>
      <c r="N160" s="422">
        <f t="shared" si="29"/>
        <v>23157069.167999983</v>
      </c>
    </row>
    <row r="161" spans="2:14" customFormat="1" x14ac:dyDescent="0.25">
      <c r="B161" s="23"/>
      <c r="C161" s="23"/>
      <c r="D161" s="38"/>
      <c r="E161" s="23"/>
      <c r="F161" s="38"/>
      <c r="G161" s="470"/>
      <c r="H161" s="466">
        <f>H155+H160</f>
        <v>1083894997.46</v>
      </c>
      <c r="I161" s="38"/>
      <c r="J161" s="472"/>
      <c r="K161" s="466">
        <f>K155+K160</f>
        <v>1088982878</v>
      </c>
      <c r="L161" s="23"/>
      <c r="M161" s="466">
        <f>M155+M160</f>
        <v>1186960845.168</v>
      </c>
      <c r="N161" s="422">
        <f t="shared" si="29"/>
        <v>97977967.167999983</v>
      </c>
    </row>
    <row r="162" spans="2:14" x14ac:dyDescent="0.25">
      <c r="D162" s="461" t="s">
        <v>75</v>
      </c>
      <c r="E162" s="468"/>
      <c r="F162" s="461"/>
      <c r="G162" s="462"/>
      <c r="H162" s="466">
        <f>+PMA!J16</f>
        <v>8510000</v>
      </c>
      <c r="I162" s="461"/>
      <c r="J162" s="429"/>
      <c r="K162" s="426">
        <f>+[1]PMA!J15</f>
        <v>15370000</v>
      </c>
      <c r="M162" s="422">
        <f>+K162</f>
        <v>15370000</v>
      </c>
      <c r="N162" s="422">
        <f t="shared" si="29"/>
        <v>0</v>
      </c>
    </row>
    <row r="163" spans="2:14" ht="17.25" thickBot="1" x14ac:dyDescent="0.3">
      <c r="D163" s="463" t="s">
        <v>76</v>
      </c>
      <c r="E163" s="469"/>
      <c r="F163" s="463"/>
      <c r="G163" s="464"/>
      <c r="H163" s="474">
        <f>+H162+H161</f>
        <v>1092404997.46</v>
      </c>
      <c r="I163" s="463"/>
      <c r="J163" s="464"/>
      <c r="K163" s="465">
        <f>+K162+K161</f>
        <v>1104352878</v>
      </c>
      <c r="M163" s="465">
        <f>+M162+M161</f>
        <v>1202330845.168</v>
      </c>
      <c r="N163" s="422">
        <f t="shared" si="29"/>
        <v>97977967.167999983</v>
      </c>
    </row>
    <row r="164" spans="2:14" x14ac:dyDescent="0.25">
      <c r="B164" s="39"/>
    </row>
    <row r="165" spans="2:14" x14ac:dyDescent="0.25">
      <c r="B165" s="39"/>
      <c r="J165" s="473"/>
    </row>
    <row r="166" spans="2:14" x14ac:dyDescent="0.25">
      <c r="B166" s="39"/>
      <c r="J166" s="473"/>
    </row>
    <row r="167" spans="2:14" x14ac:dyDescent="0.25">
      <c r="B167" s="40"/>
      <c r="C167" s="40"/>
      <c r="D167" s="40"/>
      <c r="E167" s="40"/>
      <c r="F167" s="40"/>
      <c r="G167" s="40"/>
      <c r="H167" s="40"/>
    </row>
  </sheetData>
  <mergeCells count="161">
    <mergeCell ref="C151:D151"/>
    <mergeCell ref="I151:J151"/>
    <mergeCell ref="C146:D146"/>
    <mergeCell ref="C147:D147"/>
    <mergeCell ref="C148:D148"/>
    <mergeCell ref="C149:D149"/>
    <mergeCell ref="C150:D150"/>
    <mergeCell ref="I150:J150"/>
    <mergeCell ref="C141:D141"/>
    <mergeCell ref="C142:D142"/>
    <mergeCell ref="C144:D144"/>
    <mergeCell ref="I144:J144"/>
    <mergeCell ref="C145:D145"/>
    <mergeCell ref="C143:D143"/>
    <mergeCell ref="I143:J143"/>
    <mergeCell ref="C139:D139"/>
    <mergeCell ref="C140:D140"/>
    <mergeCell ref="C129:D129"/>
    <mergeCell ref="C130:D130"/>
    <mergeCell ref="C131:D131"/>
    <mergeCell ref="C132:D132"/>
    <mergeCell ref="C133:D133"/>
    <mergeCell ref="C134:D134"/>
    <mergeCell ref="C124:D124"/>
    <mergeCell ref="C125:D125"/>
    <mergeCell ref="C126:D126"/>
    <mergeCell ref="C127:D127"/>
    <mergeCell ref="C128:D128"/>
    <mergeCell ref="C135:D135"/>
    <mergeCell ref="C136:D136"/>
    <mergeCell ref="C137:D137"/>
    <mergeCell ref="C138:D138"/>
    <mergeCell ref="C117:D117"/>
    <mergeCell ref="C118:D118"/>
    <mergeCell ref="C119:D119"/>
    <mergeCell ref="C120:D120"/>
    <mergeCell ref="I120:J120"/>
    <mergeCell ref="C121:D121"/>
    <mergeCell ref="I121:J121"/>
    <mergeCell ref="C112:D112"/>
    <mergeCell ref="C114:D114"/>
    <mergeCell ref="I114:J114"/>
    <mergeCell ref="C115:D115"/>
    <mergeCell ref="C116:D116"/>
    <mergeCell ref="I113:J113"/>
    <mergeCell ref="C113:D113"/>
    <mergeCell ref="C106:D106"/>
    <mergeCell ref="C107:D107"/>
    <mergeCell ref="C108:D108"/>
    <mergeCell ref="C109:D109"/>
    <mergeCell ref="C110:D110"/>
    <mergeCell ref="C111:D111"/>
    <mergeCell ref="C100:D100"/>
    <mergeCell ref="C101:D101"/>
    <mergeCell ref="C102:D102"/>
    <mergeCell ref="C103:D103"/>
    <mergeCell ref="C104:D104"/>
    <mergeCell ref="C105:D105"/>
    <mergeCell ref="C95:D95"/>
    <mergeCell ref="C96:D96"/>
    <mergeCell ref="C97:D97"/>
    <mergeCell ref="C98:D98"/>
    <mergeCell ref="C99:D99"/>
    <mergeCell ref="C89:D89"/>
    <mergeCell ref="C90:D90"/>
    <mergeCell ref="C91:D91"/>
    <mergeCell ref="I91:J91"/>
    <mergeCell ref="C92:D92"/>
    <mergeCell ref="I92:J92"/>
    <mergeCell ref="C85:D85"/>
    <mergeCell ref="I85:J85"/>
    <mergeCell ref="C86:D86"/>
    <mergeCell ref="C87:D87"/>
    <mergeCell ref="C88:D88"/>
    <mergeCell ref="C78:D78"/>
    <mergeCell ref="C79:D79"/>
    <mergeCell ref="C80:D80"/>
    <mergeCell ref="C81:D81"/>
    <mergeCell ref="C82:D82"/>
    <mergeCell ref="C83:D83"/>
    <mergeCell ref="C84:D84"/>
    <mergeCell ref="I84:J84"/>
    <mergeCell ref="C72:D72"/>
    <mergeCell ref="C73:D73"/>
    <mergeCell ref="C74:D74"/>
    <mergeCell ref="C75:D75"/>
    <mergeCell ref="C76:D76"/>
    <mergeCell ref="C77:D77"/>
    <mergeCell ref="C66:D66"/>
    <mergeCell ref="C67:D67"/>
    <mergeCell ref="C68:D68"/>
    <mergeCell ref="C69:D69"/>
    <mergeCell ref="C70:D70"/>
    <mergeCell ref="C71:D71"/>
    <mergeCell ref="C61:D61"/>
    <mergeCell ref="C62:D62"/>
    <mergeCell ref="I62:J62"/>
    <mergeCell ref="C63:D63"/>
    <mergeCell ref="I63:J63"/>
    <mergeCell ref="C56:D56"/>
    <mergeCell ref="I56:J56"/>
    <mergeCell ref="C57:D57"/>
    <mergeCell ref="C58:D58"/>
    <mergeCell ref="C59:D59"/>
    <mergeCell ref="C60:D60"/>
    <mergeCell ref="C51:D51"/>
    <mergeCell ref="C52:D52"/>
    <mergeCell ref="C53:D53"/>
    <mergeCell ref="C54:D54"/>
    <mergeCell ref="C55:D55"/>
    <mergeCell ref="I55:J55"/>
    <mergeCell ref="C45:D45"/>
    <mergeCell ref="C46:D46"/>
    <mergeCell ref="C47:D47"/>
    <mergeCell ref="C48:D48"/>
    <mergeCell ref="C49:D49"/>
    <mergeCell ref="C50:D50"/>
    <mergeCell ref="C39:D39"/>
    <mergeCell ref="C40:D40"/>
    <mergeCell ref="C41:D41"/>
    <mergeCell ref="C42:D42"/>
    <mergeCell ref="C43:D43"/>
    <mergeCell ref="C44:D44"/>
    <mergeCell ref="I33:J33"/>
    <mergeCell ref="C34:D34"/>
    <mergeCell ref="I34:J34"/>
    <mergeCell ref="C37:D37"/>
    <mergeCell ref="C38:D38"/>
    <mergeCell ref="C28:D28"/>
    <mergeCell ref="C29:D29"/>
    <mergeCell ref="C30:D30"/>
    <mergeCell ref="C31:D31"/>
    <mergeCell ref="C32:D32"/>
    <mergeCell ref="C33:D33"/>
    <mergeCell ref="C23:D23"/>
    <mergeCell ref="C24:D24"/>
    <mergeCell ref="C25:D25"/>
    <mergeCell ref="C26:D26"/>
    <mergeCell ref="I26:J26"/>
    <mergeCell ref="C27:D27"/>
    <mergeCell ref="I27:J27"/>
    <mergeCell ref="C17:D17"/>
    <mergeCell ref="C18:D18"/>
    <mergeCell ref="C19:D19"/>
    <mergeCell ref="C20:D20"/>
    <mergeCell ref="C21:D21"/>
    <mergeCell ref="C22:D22"/>
    <mergeCell ref="C11:D11"/>
    <mergeCell ref="C12:D12"/>
    <mergeCell ref="C13:D13"/>
    <mergeCell ref="C14:D14"/>
    <mergeCell ref="C15:D15"/>
    <mergeCell ref="C16:D16"/>
    <mergeCell ref="B2:K3"/>
    <mergeCell ref="C6:D6"/>
    <mergeCell ref="C8:D8"/>
    <mergeCell ref="C9:D9"/>
    <mergeCell ref="C10:D10"/>
    <mergeCell ref="B4:K4"/>
    <mergeCell ref="I5:K5"/>
    <mergeCell ref="F5:H5"/>
  </mergeCells>
  <conditionalFormatting sqref="A1:XFD3 A8:XFD8 A7:B7 L7:XFD7 A36:B36 L36 A37:L83 A4:B4 L4:XFD4 A85:L151 N85:XFD151 A9:L35 N9:XFD83 M9:M151 A5:XFD6 A152:XFD1048576">
    <cfRule type="cellIs" dxfId="1" priority="2" operator="equal">
      <formula>0</formula>
    </cfRule>
  </conditionalFormatting>
  <conditionalFormatting sqref="A84:L84 N84:XFD84">
    <cfRule type="cellIs" dxfId="0" priority="1" operator="equal">
      <formula>0</formula>
    </cfRule>
  </conditionalFormatting>
  <printOptions horizontalCentered="1"/>
  <pageMargins left="0.70866141732283472" right="0.70866141732283472" top="0.74803149606299213" bottom="0.74803149606299213" header="0.31496062992125984" footer="0.31496062992125984"/>
  <pageSetup scale="37" fitToHeight="0" orientation="portrait" horizontalDpi="4294967293" r:id="rId1"/>
  <headerFooter>
    <oddHeader>&amp;C&amp;"-,Negrita"BPIN 20220214000041 REPOSICIÓN DE CUBIERTA EN LA INSTITUCIÓN EDUCATIVA AGRICOLA DE ARGELIA SEDE PRINCIPAL, NIÑAS, GABRIEL GARCIA MÁRQUEZ, CENTRO DE JÓVENES E INSTITUCIÓN EDUCATIVA BOTAFOGO MUNICIPIO DE  ARGELIA, CAUCA</oddHeader>
    <oddFooter xml:space="preserve">&amp;CDirección: Calle 26N # 7c-45; Celular: 3012730678 - 3217177544 
email: dazarquitectura.19@gmail.com; procesosylicitaciones@hotmail.com
</oddFooter>
  </headerFooter>
  <rowBreaks count="2" manualBreakCount="2">
    <brk id="55" max="11" man="1"/>
    <brk id="105"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D79EB-6053-466A-97D4-2FA8F74A5766}">
  <dimension ref="A1:U55"/>
  <sheetViews>
    <sheetView topLeftCell="A7" zoomScaleNormal="100" zoomScaleSheetLayoutView="100" zoomScalePageLayoutView="40" workbookViewId="0">
      <selection activeCell="H15" sqref="H15"/>
    </sheetView>
  </sheetViews>
  <sheetFormatPr baseColWidth="10" defaultColWidth="11.42578125" defaultRowHeight="13.5" x14ac:dyDescent="0.25"/>
  <cols>
    <col min="1" max="1" width="2.7109375" style="41" customWidth="1"/>
    <col min="2" max="2" width="5.42578125" style="42" customWidth="1"/>
    <col min="3" max="3" width="29.42578125" style="43" bestFit="1" customWidth="1"/>
    <col min="4" max="4" width="14.42578125" style="43" bestFit="1" customWidth="1"/>
    <col min="5" max="5" width="10.42578125" style="43" bestFit="1" customWidth="1"/>
    <col min="6" max="6" width="12.42578125" style="43" hidden="1" customWidth="1"/>
    <col min="7" max="7" width="4.85546875" style="43" bestFit="1" customWidth="1"/>
    <col min="8" max="8" width="13.42578125" style="43" customWidth="1"/>
    <col min="9" max="9" width="14.85546875" style="44" customWidth="1"/>
    <col min="10" max="10" width="13.28515625" style="45" customWidth="1"/>
    <col min="11" max="11" width="15.140625" style="46" customWidth="1"/>
    <col min="12" max="12" width="4.85546875" style="41" bestFit="1" customWidth="1"/>
    <col min="13" max="13" width="13" style="41" customWidth="1"/>
    <col min="14" max="14" width="16.42578125" style="41" customWidth="1"/>
    <col min="15" max="15" width="11.42578125" style="41"/>
    <col min="16" max="16" width="15.85546875" style="41" bestFit="1" customWidth="1"/>
    <col min="17" max="18" width="11.42578125" style="41"/>
    <col min="19" max="19" width="18.42578125" style="41" bestFit="1" customWidth="1"/>
    <col min="20" max="253" width="11.42578125" style="41"/>
    <col min="254" max="254" width="5.42578125" style="41" customWidth="1"/>
    <col min="255" max="255" width="37" style="41" bestFit="1" customWidth="1"/>
    <col min="256" max="256" width="17.42578125" style="41" customWidth="1"/>
    <col min="257" max="257" width="11.42578125" style="41" bestFit="1" customWidth="1"/>
    <col min="258" max="258" width="12.85546875" style="41" bestFit="1" customWidth="1"/>
    <col min="259" max="259" width="7.5703125" style="41" bestFit="1" customWidth="1"/>
    <col min="260" max="260" width="16.42578125" style="41" bestFit="1" customWidth="1"/>
    <col min="261" max="261" width="13.42578125" style="41" bestFit="1" customWidth="1"/>
    <col min="262" max="262" width="16.42578125" style="41" bestFit="1" customWidth="1"/>
    <col min="263" max="263" width="11.42578125" style="41"/>
    <col min="264" max="264" width="18.42578125" style="41" bestFit="1" customWidth="1"/>
    <col min="265" max="265" width="11.42578125" style="41"/>
    <col min="266" max="266" width="14.42578125" style="41" bestFit="1" customWidth="1"/>
    <col min="267" max="274" width="11.42578125" style="41"/>
    <col min="275" max="275" width="18.42578125" style="41" bestFit="1" customWidth="1"/>
    <col min="276" max="509" width="11.42578125" style="41"/>
    <col min="510" max="510" width="5.42578125" style="41" customWidth="1"/>
    <col min="511" max="511" width="37" style="41" bestFit="1" customWidth="1"/>
    <col min="512" max="512" width="17.42578125" style="41" customWidth="1"/>
    <col min="513" max="513" width="11.42578125" style="41" bestFit="1" customWidth="1"/>
    <col min="514" max="514" width="12.85546875" style="41" bestFit="1" customWidth="1"/>
    <col min="515" max="515" width="7.5703125" style="41" bestFit="1" customWidth="1"/>
    <col min="516" max="516" width="16.42578125" style="41" bestFit="1" customWidth="1"/>
    <col min="517" max="517" width="13.42578125" style="41" bestFit="1" customWidth="1"/>
    <col min="518" max="518" width="16.42578125" style="41" bestFit="1" customWidth="1"/>
    <col min="519" max="519" width="11.42578125" style="41"/>
    <col min="520" max="520" width="18.42578125" style="41" bestFit="1" customWidth="1"/>
    <col min="521" max="521" width="11.42578125" style="41"/>
    <col min="522" max="522" width="14.42578125" style="41" bestFit="1" customWidth="1"/>
    <col min="523" max="530" width="11.42578125" style="41"/>
    <col min="531" max="531" width="18.42578125" style="41" bestFit="1" customWidth="1"/>
    <col min="532" max="765" width="11.42578125" style="41"/>
    <col min="766" max="766" width="5.42578125" style="41" customWidth="1"/>
    <col min="767" max="767" width="37" style="41" bestFit="1" customWidth="1"/>
    <col min="768" max="768" width="17.42578125" style="41" customWidth="1"/>
    <col min="769" max="769" width="11.42578125" style="41" bestFit="1" customWidth="1"/>
    <col min="770" max="770" width="12.85546875" style="41" bestFit="1" customWidth="1"/>
    <col min="771" max="771" width="7.5703125" style="41" bestFit="1" customWidth="1"/>
    <col min="772" max="772" width="16.42578125" style="41" bestFit="1" customWidth="1"/>
    <col min="773" max="773" width="13.42578125" style="41" bestFit="1" customWidth="1"/>
    <col min="774" max="774" width="16.42578125" style="41" bestFit="1" customWidth="1"/>
    <col min="775" max="775" width="11.42578125" style="41"/>
    <col min="776" max="776" width="18.42578125" style="41" bestFit="1" customWidth="1"/>
    <col min="777" max="777" width="11.42578125" style="41"/>
    <col min="778" max="778" width="14.42578125" style="41" bestFit="1" customWidth="1"/>
    <col min="779" max="786" width="11.42578125" style="41"/>
    <col min="787" max="787" width="18.42578125" style="41" bestFit="1" customWidth="1"/>
    <col min="788" max="1021" width="11.42578125" style="41"/>
    <col min="1022" max="1022" width="5.42578125" style="41" customWidth="1"/>
    <col min="1023" max="1023" width="37" style="41" bestFit="1" customWidth="1"/>
    <col min="1024" max="1024" width="17.42578125" style="41" customWidth="1"/>
    <col min="1025" max="1025" width="11.42578125" style="41" bestFit="1" customWidth="1"/>
    <col min="1026" max="1026" width="12.85546875" style="41" bestFit="1" customWidth="1"/>
    <col min="1027" max="1027" width="7.5703125" style="41" bestFit="1" customWidth="1"/>
    <col min="1028" max="1028" width="16.42578125" style="41" bestFit="1" customWidth="1"/>
    <col min="1029" max="1029" width="13.42578125" style="41" bestFit="1" customWidth="1"/>
    <col min="1030" max="1030" width="16.42578125" style="41" bestFit="1" customWidth="1"/>
    <col min="1031" max="1031" width="11.42578125" style="41"/>
    <col min="1032" max="1032" width="18.42578125" style="41" bestFit="1" customWidth="1"/>
    <col min="1033" max="1033" width="11.42578125" style="41"/>
    <col min="1034" max="1034" width="14.42578125" style="41" bestFit="1" customWidth="1"/>
    <col min="1035" max="1042" width="11.42578125" style="41"/>
    <col min="1043" max="1043" width="18.42578125" style="41" bestFit="1" customWidth="1"/>
    <col min="1044" max="1277" width="11.42578125" style="41"/>
    <col min="1278" max="1278" width="5.42578125" style="41" customWidth="1"/>
    <col min="1279" max="1279" width="37" style="41" bestFit="1" customWidth="1"/>
    <col min="1280" max="1280" width="17.42578125" style="41" customWidth="1"/>
    <col min="1281" max="1281" width="11.42578125" style="41" bestFit="1" customWidth="1"/>
    <col min="1282" max="1282" width="12.85546875" style="41" bestFit="1" customWidth="1"/>
    <col min="1283" max="1283" width="7.5703125" style="41" bestFit="1" customWidth="1"/>
    <col min="1284" max="1284" width="16.42578125" style="41" bestFit="1" customWidth="1"/>
    <col min="1285" max="1285" width="13.42578125" style="41" bestFit="1" customWidth="1"/>
    <col min="1286" max="1286" width="16.42578125" style="41" bestFit="1" customWidth="1"/>
    <col min="1287" max="1287" width="11.42578125" style="41"/>
    <col min="1288" max="1288" width="18.42578125" style="41" bestFit="1" customWidth="1"/>
    <col min="1289" max="1289" width="11.42578125" style="41"/>
    <col min="1290" max="1290" width="14.42578125" style="41" bestFit="1" customWidth="1"/>
    <col min="1291" max="1298" width="11.42578125" style="41"/>
    <col min="1299" max="1299" width="18.42578125" style="41" bestFit="1" customWidth="1"/>
    <col min="1300" max="1533" width="11.42578125" style="41"/>
    <col min="1534" max="1534" width="5.42578125" style="41" customWidth="1"/>
    <col min="1535" max="1535" width="37" style="41" bestFit="1" customWidth="1"/>
    <col min="1536" max="1536" width="17.42578125" style="41" customWidth="1"/>
    <col min="1537" max="1537" width="11.42578125" style="41" bestFit="1" customWidth="1"/>
    <col min="1538" max="1538" width="12.85546875" style="41" bestFit="1" customWidth="1"/>
    <col min="1539" max="1539" width="7.5703125" style="41" bestFit="1" customWidth="1"/>
    <col min="1540" max="1540" width="16.42578125" style="41" bestFit="1" customWidth="1"/>
    <col min="1541" max="1541" width="13.42578125" style="41" bestFit="1" customWidth="1"/>
    <col min="1542" max="1542" width="16.42578125" style="41" bestFit="1" customWidth="1"/>
    <col min="1543" max="1543" width="11.42578125" style="41"/>
    <col min="1544" max="1544" width="18.42578125" style="41" bestFit="1" customWidth="1"/>
    <col min="1545" max="1545" width="11.42578125" style="41"/>
    <col min="1546" max="1546" width="14.42578125" style="41" bestFit="1" customWidth="1"/>
    <col min="1547" max="1554" width="11.42578125" style="41"/>
    <col min="1555" max="1555" width="18.42578125" style="41" bestFit="1" customWidth="1"/>
    <col min="1556" max="1789" width="11.42578125" style="41"/>
    <col min="1790" max="1790" width="5.42578125" style="41" customWidth="1"/>
    <col min="1791" max="1791" width="37" style="41" bestFit="1" customWidth="1"/>
    <col min="1792" max="1792" width="17.42578125" style="41" customWidth="1"/>
    <col min="1793" max="1793" width="11.42578125" style="41" bestFit="1" customWidth="1"/>
    <col min="1794" max="1794" width="12.85546875" style="41" bestFit="1" customWidth="1"/>
    <col min="1795" max="1795" width="7.5703125" style="41" bestFit="1" customWidth="1"/>
    <col min="1796" max="1796" width="16.42578125" style="41" bestFit="1" customWidth="1"/>
    <col min="1797" max="1797" width="13.42578125" style="41" bestFit="1" customWidth="1"/>
    <col min="1798" max="1798" width="16.42578125" style="41" bestFit="1" customWidth="1"/>
    <col min="1799" max="1799" width="11.42578125" style="41"/>
    <col min="1800" max="1800" width="18.42578125" style="41" bestFit="1" customWidth="1"/>
    <col min="1801" max="1801" width="11.42578125" style="41"/>
    <col min="1802" max="1802" width="14.42578125" style="41" bestFit="1" customWidth="1"/>
    <col min="1803" max="1810" width="11.42578125" style="41"/>
    <col min="1811" max="1811" width="18.42578125" style="41" bestFit="1" customWidth="1"/>
    <col min="1812" max="2045" width="11.42578125" style="41"/>
    <col min="2046" max="2046" width="5.42578125" style="41" customWidth="1"/>
    <col min="2047" max="2047" width="37" style="41" bestFit="1" customWidth="1"/>
    <col min="2048" max="2048" width="17.42578125" style="41" customWidth="1"/>
    <col min="2049" max="2049" width="11.42578125" style="41" bestFit="1" customWidth="1"/>
    <col min="2050" max="2050" width="12.85546875" style="41" bestFit="1" customWidth="1"/>
    <col min="2051" max="2051" width="7.5703125" style="41" bestFit="1" customWidth="1"/>
    <col min="2052" max="2052" width="16.42578125" style="41" bestFit="1" customWidth="1"/>
    <col min="2053" max="2053" width="13.42578125" style="41" bestFit="1" customWidth="1"/>
    <col min="2054" max="2054" width="16.42578125" style="41" bestFit="1" customWidth="1"/>
    <col min="2055" max="2055" width="11.42578125" style="41"/>
    <col min="2056" max="2056" width="18.42578125" style="41" bestFit="1" customWidth="1"/>
    <col min="2057" max="2057" width="11.42578125" style="41"/>
    <col min="2058" max="2058" width="14.42578125" style="41" bestFit="1" customWidth="1"/>
    <col min="2059" max="2066" width="11.42578125" style="41"/>
    <col min="2067" max="2067" width="18.42578125" style="41" bestFit="1" customWidth="1"/>
    <col min="2068" max="2301" width="11.42578125" style="41"/>
    <col min="2302" max="2302" width="5.42578125" style="41" customWidth="1"/>
    <col min="2303" max="2303" width="37" style="41" bestFit="1" customWidth="1"/>
    <col min="2304" max="2304" width="17.42578125" style="41" customWidth="1"/>
    <col min="2305" max="2305" width="11.42578125" style="41" bestFit="1" customWidth="1"/>
    <col min="2306" max="2306" width="12.85546875" style="41" bestFit="1" customWidth="1"/>
    <col min="2307" max="2307" width="7.5703125" style="41" bestFit="1" customWidth="1"/>
    <col min="2308" max="2308" width="16.42578125" style="41" bestFit="1" customWidth="1"/>
    <col min="2309" max="2309" width="13.42578125" style="41" bestFit="1" customWidth="1"/>
    <col min="2310" max="2310" width="16.42578125" style="41" bestFit="1" customWidth="1"/>
    <col min="2311" max="2311" width="11.42578125" style="41"/>
    <col min="2312" max="2312" width="18.42578125" style="41" bestFit="1" customWidth="1"/>
    <col min="2313" max="2313" width="11.42578125" style="41"/>
    <col min="2314" max="2314" width="14.42578125" style="41" bestFit="1" customWidth="1"/>
    <col min="2315" max="2322" width="11.42578125" style="41"/>
    <col min="2323" max="2323" width="18.42578125" style="41" bestFit="1" customWidth="1"/>
    <col min="2324" max="2557" width="11.42578125" style="41"/>
    <col min="2558" max="2558" width="5.42578125" style="41" customWidth="1"/>
    <col min="2559" max="2559" width="37" style="41" bestFit="1" customWidth="1"/>
    <col min="2560" max="2560" width="17.42578125" style="41" customWidth="1"/>
    <col min="2561" max="2561" width="11.42578125" style="41" bestFit="1" customWidth="1"/>
    <col min="2562" max="2562" width="12.85546875" style="41" bestFit="1" customWidth="1"/>
    <col min="2563" max="2563" width="7.5703125" style="41" bestFit="1" customWidth="1"/>
    <col min="2564" max="2564" width="16.42578125" style="41" bestFit="1" customWidth="1"/>
    <col min="2565" max="2565" width="13.42578125" style="41" bestFit="1" customWidth="1"/>
    <col min="2566" max="2566" width="16.42578125" style="41" bestFit="1" customWidth="1"/>
    <col min="2567" max="2567" width="11.42578125" style="41"/>
    <col min="2568" max="2568" width="18.42578125" style="41" bestFit="1" customWidth="1"/>
    <col min="2569" max="2569" width="11.42578125" style="41"/>
    <col min="2570" max="2570" width="14.42578125" style="41" bestFit="1" customWidth="1"/>
    <col min="2571" max="2578" width="11.42578125" style="41"/>
    <col min="2579" max="2579" width="18.42578125" style="41" bestFit="1" customWidth="1"/>
    <col min="2580" max="2813" width="11.42578125" style="41"/>
    <col min="2814" max="2814" width="5.42578125" style="41" customWidth="1"/>
    <col min="2815" max="2815" width="37" style="41" bestFit="1" customWidth="1"/>
    <col min="2816" max="2816" width="17.42578125" style="41" customWidth="1"/>
    <col min="2817" max="2817" width="11.42578125" style="41" bestFit="1" customWidth="1"/>
    <col min="2818" max="2818" width="12.85546875" style="41" bestFit="1" customWidth="1"/>
    <col min="2819" max="2819" width="7.5703125" style="41" bestFit="1" customWidth="1"/>
    <col min="2820" max="2820" width="16.42578125" style="41" bestFit="1" customWidth="1"/>
    <col min="2821" max="2821" width="13.42578125" style="41" bestFit="1" customWidth="1"/>
    <col min="2822" max="2822" width="16.42578125" style="41" bestFit="1" customWidth="1"/>
    <col min="2823" max="2823" width="11.42578125" style="41"/>
    <col min="2824" max="2824" width="18.42578125" style="41" bestFit="1" customWidth="1"/>
    <col min="2825" max="2825" width="11.42578125" style="41"/>
    <col min="2826" max="2826" width="14.42578125" style="41" bestFit="1" customWidth="1"/>
    <col min="2827" max="2834" width="11.42578125" style="41"/>
    <col min="2835" max="2835" width="18.42578125" style="41" bestFit="1" customWidth="1"/>
    <col min="2836" max="3069" width="11.42578125" style="41"/>
    <col min="3070" max="3070" width="5.42578125" style="41" customWidth="1"/>
    <col min="3071" max="3071" width="37" style="41" bestFit="1" customWidth="1"/>
    <col min="3072" max="3072" width="17.42578125" style="41" customWidth="1"/>
    <col min="3073" max="3073" width="11.42578125" style="41" bestFit="1" customWidth="1"/>
    <col min="3074" max="3074" width="12.85546875" style="41" bestFit="1" customWidth="1"/>
    <col min="3075" max="3075" width="7.5703125" style="41" bestFit="1" customWidth="1"/>
    <col min="3076" max="3076" width="16.42578125" style="41" bestFit="1" customWidth="1"/>
    <col min="3077" max="3077" width="13.42578125" style="41" bestFit="1" customWidth="1"/>
    <col min="3078" max="3078" width="16.42578125" style="41" bestFit="1" customWidth="1"/>
    <col min="3079" max="3079" width="11.42578125" style="41"/>
    <col min="3080" max="3080" width="18.42578125" style="41" bestFit="1" customWidth="1"/>
    <col min="3081" max="3081" width="11.42578125" style="41"/>
    <col min="3082" max="3082" width="14.42578125" style="41" bestFit="1" customWidth="1"/>
    <col min="3083" max="3090" width="11.42578125" style="41"/>
    <col min="3091" max="3091" width="18.42578125" style="41" bestFit="1" customWidth="1"/>
    <col min="3092" max="3325" width="11.42578125" style="41"/>
    <col min="3326" max="3326" width="5.42578125" style="41" customWidth="1"/>
    <col min="3327" max="3327" width="37" style="41" bestFit="1" customWidth="1"/>
    <col min="3328" max="3328" width="17.42578125" style="41" customWidth="1"/>
    <col min="3329" max="3329" width="11.42578125" style="41" bestFit="1" customWidth="1"/>
    <col min="3330" max="3330" width="12.85546875" style="41" bestFit="1" customWidth="1"/>
    <col min="3331" max="3331" width="7.5703125" style="41" bestFit="1" customWidth="1"/>
    <col min="3332" max="3332" width="16.42578125" style="41" bestFit="1" customWidth="1"/>
    <col min="3333" max="3333" width="13.42578125" style="41" bestFit="1" customWidth="1"/>
    <col min="3334" max="3334" width="16.42578125" style="41" bestFit="1" customWidth="1"/>
    <col min="3335" max="3335" width="11.42578125" style="41"/>
    <col min="3336" max="3336" width="18.42578125" style="41" bestFit="1" customWidth="1"/>
    <col min="3337" max="3337" width="11.42578125" style="41"/>
    <col min="3338" max="3338" width="14.42578125" style="41" bestFit="1" customWidth="1"/>
    <col min="3339" max="3346" width="11.42578125" style="41"/>
    <col min="3347" max="3347" width="18.42578125" style="41" bestFit="1" customWidth="1"/>
    <col min="3348" max="3581" width="11.42578125" style="41"/>
    <col min="3582" max="3582" width="5.42578125" style="41" customWidth="1"/>
    <col min="3583" max="3583" width="37" style="41" bestFit="1" customWidth="1"/>
    <col min="3584" max="3584" width="17.42578125" style="41" customWidth="1"/>
    <col min="3585" max="3585" width="11.42578125" style="41" bestFit="1" customWidth="1"/>
    <col min="3586" max="3586" width="12.85546875" style="41" bestFit="1" customWidth="1"/>
    <col min="3587" max="3587" width="7.5703125" style="41" bestFit="1" customWidth="1"/>
    <col min="3588" max="3588" width="16.42578125" style="41" bestFit="1" customWidth="1"/>
    <col min="3589" max="3589" width="13.42578125" style="41" bestFit="1" customWidth="1"/>
    <col min="3590" max="3590" width="16.42578125" style="41" bestFit="1" customWidth="1"/>
    <col min="3591" max="3591" width="11.42578125" style="41"/>
    <col min="3592" max="3592" width="18.42578125" style="41" bestFit="1" customWidth="1"/>
    <col min="3593" max="3593" width="11.42578125" style="41"/>
    <col min="3594" max="3594" width="14.42578125" style="41" bestFit="1" customWidth="1"/>
    <col min="3595" max="3602" width="11.42578125" style="41"/>
    <col min="3603" max="3603" width="18.42578125" style="41" bestFit="1" customWidth="1"/>
    <col min="3604" max="3837" width="11.42578125" style="41"/>
    <col min="3838" max="3838" width="5.42578125" style="41" customWidth="1"/>
    <col min="3839" max="3839" width="37" style="41" bestFit="1" customWidth="1"/>
    <col min="3840" max="3840" width="17.42578125" style="41" customWidth="1"/>
    <col min="3841" max="3841" width="11.42578125" style="41" bestFit="1" customWidth="1"/>
    <col min="3842" max="3842" width="12.85546875" style="41" bestFit="1" customWidth="1"/>
    <col min="3843" max="3843" width="7.5703125" style="41" bestFit="1" customWidth="1"/>
    <col min="3844" max="3844" width="16.42578125" style="41" bestFit="1" customWidth="1"/>
    <col min="3845" max="3845" width="13.42578125" style="41" bestFit="1" customWidth="1"/>
    <col min="3846" max="3846" width="16.42578125" style="41" bestFit="1" customWidth="1"/>
    <col min="3847" max="3847" width="11.42578125" style="41"/>
    <col min="3848" max="3848" width="18.42578125" style="41" bestFit="1" customWidth="1"/>
    <col min="3849" max="3849" width="11.42578125" style="41"/>
    <col min="3850" max="3850" width="14.42578125" style="41" bestFit="1" customWidth="1"/>
    <col min="3851" max="3858" width="11.42578125" style="41"/>
    <col min="3859" max="3859" width="18.42578125" style="41" bestFit="1" customWidth="1"/>
    <col min="3860" max="4093" width="11.42578125" style="41"/>
    <col min="4094" max="4094" width="5.42578125" style="41" customWidth="1"/>
    <col min="4095" max="4095" width="37" style="41" bestFit="1" customWidth="1"/>
    <col min="4096" max="4096" width="17.42578125" style="41" customWidth="1"/>
    <col min="4097" max="4097" width="11.42578125" style="41" bestFit="1" customWidth="1"/>
    <col min="4098" max="4098" width="12.85546875" style="41" bestFit="1" customWidth="1"/>
    <col min="4099" max="4099" width="7.5703125" style="41" bestFit="1" customWidth="1"/>
    <col min="4100" max="4100" width="16.42578125" style="41" bestFit="1" customWidth="1"/>
    <col min="4101" max="4101" width="13.42578125" style="41" bestFit="1" customWidth="1"/>
    <col min="4102" max="4102" width="16.42578125" style="41" bestFit="1" customWidth="1"/>
    <col min="4103" max="4103" width="11.42578125" style="41"/>
    <col min="4104" max="4104" width="18.42578125" style="41" bestFit="1" customWidth="1"/>
    <col min="4105" max="4105" width="11.42578125" style="41"/>
    <col min="4106" max="4106" width="14.42578125" style="41" bestFit="1" customWidth="1"/>
    <col min="4107" max="4114" width="11.42578125" style="41"/>
    <col min="4115" max="4115" width="18.42578125" style="41" bestFit="1" customWidth="1"/>
    <col min="4116" max="4349" width="11.42578125" style="41"/>
    <col min="4350" max="4350" width="5.42578125" style="41" customWidth="1"/>
    <col min="4351" max="4351" width="37" style="41" bestFit="1" customWidth="1"/>
    <col min="4352" max="4352" width="17.42578125" style="41" customWidth="1"/>
    <col min="4353" max="4353" width="11.42578125" style="41" bestFit="1" customWidth="1"/>
    <col min="4354" max="4354" width="12.85546875" style="41" bestFit="1" customWidth="1"/>
    <col min="4355" max="4355" width="7.5703125" style="41" bestFit="1" customWidth="1"/>
    <col min="4356" max="4356" width="16.42578125" style="41" bestFit="1" customWidth="1"/>
    <col min="4357" max="4357" width="13.42578125" style="41" bestFit="1" customWidth="1"/>
    <col min="4358" max="4358" width="16.42578125" style="41" bestFit="1" customWidth="1"/>
    <col min="4359" max="4359" width="11.42578125" style="41"/>
    <col min="4360" max="4360" width="18.42578125" style="41" bestFit="1" customWidth="1"/>
    <col min="4361" max="4361" width="11.42578125" style="41"/>
    <col min="4362" max="4362" width="14.42578125" style="41" bestFit="1" customWidth="1"/>
    <col min="4363" max="4370" width="11.42578125" style="41"/>
    <col min="4371" max="4371" width="18.42578125" style="41" bestFit="1" customWidth="1"/>
    <col min="4372" max="4605" width="11.42578125" style="41"/>
    <col min="4606" max="4606" width="5.42578125" style="41" customWidth="1"/>
    <col min="4607" max="4607" width="37" style="41" bestFit="1" customWidth="1"/>
    <col min="4608" max="4608" width="17.42578125" style="41" customWidth="1"/>
    <col min="4609" max="4609" width="11.42578125" style="41" bestFit="1" customWidth="1"/>
    <col min="4610" max="4610" width="12.85546875" style="41" bestFit="1" customWidth="1"/>
    <col min="4611" max="4611" width="7.5703125" style="41" bestFit="1" customWidth="1"/>
    <col min="4612" max="4612" width="16.42578125" style="41" bestFit="1" customWidth="1"/>
    <col min="4613" max="4613" width="13.42578125" style="41" bestFit="1" customWidth="1"/>
    <col min="4614" max="4614" width="16.42578125" style="41" bestFit="1" customWidth="1"/>
    <col min="4615" max="4615" width="11.42578125" style="41"/>
    <col min="4616" max="4616" width="18.42578125" style="41" bestFit="1" customWidth="1"/>
    <col min="4617" max="4617" width="11.42578125" style="41"/>
    <col min="4618" max="4618" width="14.42578125" style="41" bestFit="1" customWidth="1"/>
    <col min="4619" max="4626" width="11.42578125" style="41"/>
    <col min="4627" max="4627" width="18.42578125" style="41" bestFit="1" customWidth="1"/>
    <col min="4628" max="4861" width="11.42578125" style="41"/>
    <col min="4862" max="4862" width="5.42578125" style="41" customWidth="1"/>
    <col min="4863" max="4863" width="37" style="41" bestFit="1" customWidth="1"/>
    <col min="4864" max="4864" width="17.42578125" style="41" customWidth="1"/>
    <col min="4865" max="4865" width="11.42578125" style="41" bestFit="1" customWidth="1"/>
    <col min="4866" max="4866" width="12.85546875" style="41" bestFit="1" customWidth="1"/>
    <col min="4867" max="4867" width="7.5703125" style="41" bestFit="1" customWidth="1"/>
    <col min="4868" max="4868" width="16.42578125" style="41" bestFit="1" customWidth="1"/>
    <col min="4869" max="4869" width="13.42578125" style="41" bestFit="1" customWidth="1"/>
    <col min="4870" max="4870" width="16.42578125" style="41" bestFit="1" customWidth="1"/>
    <col min="4871" max="4871" width="11.42578125" style="41"/>
    <col min="4872" max="4872" width="18.42578125" style="41" bestFit="1" customWidth="1"/>
    <col min="4873" max="4873" width="11.42578125" style="41"/>
    <col min="4874" max="4874" width="14.42578125" style="41" bestFit="1" customWidth="1"/>
    <col min="4875" max="4882" width="11.42578125" style="41"/>
    <col min="4883" max="4883" width="18.42578125" style="41" bestFit="1" customWidth="1"/>
    <col min="4884" max="5117" width="11.42578125" style="41"/>
    <col min="5118" max="5118" width="5.42578125" style="41" customWidth="1"/>
    <col min="5119" max="5119" width="37" style="41" bestFit="1" customWidth="1"/>
    <col min="5120" max="5120" width="17.42578125" style="41" customWidth="1"/>
    <col min="5121" max="5121" width="11.42578125" style="41" bestFit="1" customWidth="1"/>
    <col min="5122" max="5122" width="12.85546875" style="41" bestFit="1" customWidth="1"/>
    <col min="5123" max="5123" width="7.5703125" style="41" bestFit="1" customWidth="1"/>
    <col min="5124" max="5124" width="16.42578125" style="41" bestFit="1" customWidth="1"/>
    <col min="5125" max="5125" width="13.42578125" style="41" bestFit="1" customWidth="1"/>
    <col min="5126" max="5126" width="16.42578125" style="41" bestFit="1" customWidth="1"/>
    <col min="5127" max="5127" width="11.42578125" style="41"/>
    <col min="5128" max="5128" width="18.42578125" style="41" bestFit="1" customWidth="1"/>
    <col min="5129" max="5129" width="11.42578125" style="41"/>
    <col min="5130" max="5130" width="14.42578125" style="41" bestFit="1" customWidth="1"/>
    <col min="5131" max="5138" width="11.42578125" style="41"/>
    <col min="5139" max="5139" width="18.42578125" style="41" bestFit="1" customWidth="1"/>
    <col min="5140" max="5373" width="11.42578125" style="41"/>
    <col min="5374" max="5374" width="5.42578125" style="41" customWidth="1"/>
    <col min="5375" max="5375" width="37" style="41" bestFit="1" customWidth="1"/>
    <col min="5376" max="5376" width="17.42578125" style="41" customWidth="1"/>
    <col min="5377" max="5377" width="11.42578125" style="41" bestFit="1" customWidth="1"/>
    <col min="5378" max="5378" width="12.85546875" style="41" bestFit="1" customWidth="1"/>
    <col min="5379" max="5379" width="7.5703125" style="41" bestFit="1" customWidth="1"/>
    <col min="5380" max="5380" width="16.42578125" style="41" bestFit="1" customWidth="1"/>
    <col min="5381" max="5381" width="13.42578125" style="41" bestFit="1" customWidth="1"/>
    <col min="5382" max="5382" width="16.42578125" style="41" bestFit="1" customWidth="1"/>
    <col min="5383" max="5383" width="11.42578125" style="41"/>
    <col min="5384" max="5384" width="18.42578125" style="41" bestFit="1" customWidth="1"/>
    <col min="5385" max="5385" width="11.42578125" style="41"/>
    <col min="5386" max="5386" width="14.42578125" style="41" bestFit="1" customWidth="1"/>
    <col min="5387" max="5394" width="11.42578125" style="41"/>
    <col min="5395" max="5395" width="18.42578125" style="41" bestFit="1" customWidth="1"/>
    <col min="5396" max="5629" width="11.42578125" style="41"/>
    <col min="5630" max="5630" width="5.42578125" style="41" customWidth="1"/>
    <col min="5631" max="5631" width="37" style="41" bestFit="1" customWidth="1"/>
    <col min="5632" max="5632" width="17.42578125" style="41" customWidth="1"/>
    <col min="5633" max="5633" width="11.42578125" style="41" bestFit="1" customWidth="1"/>
    <col min="5634" max="5634" width="12.85546875" style="41" bestFit="1" customWidth="1"/>
    <col min="5635" max="5635" width="7.5703125" style="41" bestFit="1" customWidth="1"/>
    <col min="5636" max="5636" width="16.42578125" style="41" bestFit="1" customWidth="1"/>
    <col min="5637" max="5637" width="13.42578125" style="41" bestFit="1" customWidth="1"/>
    <col min="5638" max="5638" width="16.42578125" style="41" bestFit="1" customWidth="1"/>
    <col min="5639" max="5639" width="11.42578125" style="41"/>
    <col min="5640" max="5640" width="18.42578125" style="41" bestFit="1" customWidth="1"/>
    <col min="5641" max="5641" width="11.42578125" style="41"/>
    <col min="5642" max="5642" width="14.42578125" style="41" bestFit="1" customWidth="1"/>
    <col min="5643" max="5650" width="11.42578125" style="41"/>
    <col min="5651" max="5651" width="18.42578125" style="41" bestFit="1" customWidth="1"/>
    <col min="5652" max="5885" width="11.42578125" style="41"/>
    <col min="5886" max="5886" width="5.42578125" style="41" customWidth="1"/>
    <col min="5887" max="5887" width="37" style="41" bestFit="1" customWidth="1"/>
    <col min="5888" max="5888" width="17.42578125" style="41" customWidth="1"/>
    <col min="5889" max="5889" width="11.42578125" style="41" bestFit="1" customWidth="1"/>
    <col min="5890" max="5890" width="12.85546875" style="41" bestFit="1" customWidth="1"/>
    <col min="5891" max="5891" width="7.5703125" style="41" bestFit="1" customWidth="1"/>
    <col min="5892" max="5892" width="16.42578125" style="41" bestFit="1" customWidth="1"/>
    <col min="5893" max="5893" width="13.42578125" style="41" bestFit="1" customWidth="1"/>
    <col min="5894" max="5894" width="16.42578125" style="41" bestFit="1" customWidth="1"/>
    <col min="5895" max="5895" width="11.42578125" style="41"/>
    <col min="5896" max="5896" width="18.42578125" style="41" bestFit="1" customWidth="1"/>
    <col min="5897" max="5897" width="11.42578125" style="41"/>
    <col min="5898" max="5898" width="14.42578125" style="41" bestFit="1" customWidth="1"/>
    <col min="5899" max="5906" width="11.42578125" style="41"/>
    <col min="5907" max="5907" width="18.42578125" style="41" bestFit="1" customWidth="1"/>
    <col min="5908" max="6141" width="11.42578125" style="41"/>
    <col min="6142" max="6142" width="5.42578125" style="41" customWidth="1"/>
    <col min="6143" max="6143" width="37" style="41" bestFit="1" customWidth="1"/>
    <col min="6144" max="6144" width="17.42578125" style="41" customWidth="1"/>
    <col min="6145" max="6145" width="11.42578125" style="41" bestFit="1" customWidth="1"/>
    <col min="6146" max="6146" width="12.85546875" style="41" bestFit="1" customWidth="1"/>
    <col min="6147" max="6147" width="7.5703125" style="41" bestFit="1" customWidth="1"/>
    <col min="6148" max="6148" width="16.42578125" style="41" bestFit="1" customWidth="1"/>
    <col min="6149" max="6149" width="13.42578125" style="41" bestFit="1" customWidth="1"/>
    <col min="6150" max="6150" width="16.42578125" style="41" bestFit="1" customWidth="1"/>
    <col min="6151" max="6151" width="11.42578125" style="41"/>
    <col min="6152" max="6152" width="18.42578125" style="41" bestFit="1" customWidth="1"/>
    <col min="6153" max="6153" width="11.42578125" style="41"/>
    <col min="6154" max="6154" width="14.42578125" style="41" bestFit="1" customWidth="1"/>
    <col min="6155" max="6162" width="11.42578125" style="41"/>
    <col min="6163" max="6163" width="18.42578125" style="41" bestFit="1" customWidth="1"/>
    <col min="6164" max="6397" width="11.42578125" style="41"/>
    <col min="6398" max="6398" width="5.42578125" style="41" customWidth="1"/>
    <col min="6399" max="6399" width="37" style="41" bestFit="1" customWidth="1"/>
    <col min="6400" max="6400" width="17.42578125" style="41" customWidth="1"/>
    <col min="6401" max="6401" width="11.42578125" style="41" bestFit="1" customWidth="1"/>
    <col min="6402" max="6402" width="12.85546875" style="41" bestFit="1" customWidth="1"/>
    <col min="6403" max="6403" width="7.5703125" style="41" bestFit="1" customWidth="1"/>
    <col min="6404" max="6404" width="16.42578125" style="41" bestFit="1" customWidth="1"/>
    <col min="6405" max="6405" width="13.42578125" style="41" bestFit="1" customWidth="1"/>
    <col min="6406" max="6406" width="16.42578125" style="41" bestFit="1" customWidth="1"/>
    <col min="6407" max="6407" width="11.42578125" style="41"/>
    <col min="6408" max="6408" width="18.42578125" style="41" bestFit="1" customWidth="1"/>
    <col min="6409" max="6409" width="11.42578125" style="41"/>
    <col min="6410" max="6410" width="14.42578125" style="41" bestFit="1" customWidth="1"/>
    <col min="6411" max="6418" width="11.42578125" style="41"/>
    <col min="6419" max="6419" width="18.42578125" style="41" bestFit="1" customWidth="1"/>
    <col min="6420" max="6653" width="11.42578125" style="41"/>
    <col min="6654" max="6654" width="5.42578125" style="41" customWidth="1"/>
    <col min="6655" max="6655" width="37" style="41" bestFit="1" customWidth="1"/>
    <col min="6656" max="6656" width="17.42578125" style="41" customWidth="1"/>
    <col min="6657" max="6657" width="11.42578125" style="41" bestFit="1" customWidth="1"/>
    <col min="6658" max="6658" width="12.85546875" style="41" bestFit="1" customWidth="1"/>
    <col min="6659" max="6659" width="7.5703125" style="41" bestFit="1" customWidth="1"/>
    <col min="6660" max="6660" width="16.42578125" style="41" bestFit="1" customWidth="1"/>
    <col min="6661" max="6661" width="13.42578125" style="41" bestFit="1" customWidth="1"/>
    <col min="6662" max="6662" width="16.42578125" style="41" bestFit="1" customWidth="1"/>
    <col min="6663" max="6663" width="11.42578125" style="41"/>
    <col min="6664" max="6664" width="18.42578125" style="41" bestFit="1" customWidth="1"/>
    <col min="6665" max="6665" width="11.42578125" style="41"/>
    <col min="6666" max="6666" width="14.42578125" style="41" bestFit="1" customWidth="1"/>
    <col min="6667" max="6674" width="11.42578125" style="41"/>
    <col min="6675" max="6675" width="18.42578125" style="41" bestFit="1" customWidth="1"/>
    <col min="6676" max="6909" width="11.42578125" style="41"/>
    <col min="6910" max="6910" width="5.42578125" style="41" customWidth="1"/>
    <col min="6911" max="6911" width="37" style="41" bestFit="1" customWidth="1"/>
    <col min="6912" max="6912" width="17.42578125" style="41" customWidth="1"/>
    <col min="6913" max="6913" width="11.42578125" style="41" bestFit="1" customWidth="1"/>
    <col min="6914" max="6914" width="12.85546875" style="41" bestFit="1" customWidth="1"/>
    <col min="6915" max="6915" width="7.5703125" style="41" bestFit="1" customWidth="1"/>
    <col min="6916" max="6916" width="16.42578125" style="41" bestFit="1" customWidth="1"/>
    <col min="6917" max="6917" width="13.42578125" style="41" bestFit="1" customWidth="1"/>
    <col min="6918" max="6918" width="16.42578125" style="41" bestFit="1" customWidth="1"/>
    <col min="6919" max="6919" width="11.42578125" style="41"/>
    <col min="6920" max="6920" width="18.42578125" style="41" bestFit="1" customWidth="1"/>
    <col min="6921" max="6921" width="11.42578125" style="41"/>
    <col min="6922" max="6922" width="14.42578125" style="41" bestFit="1" customWidth="1"/>
    <col min="6923" max="6930" width="11.42578125" style="41"/>
    <col min="6931" max="6931" width="18.42578125" style="41" bestFit="1" customWidth="1"/>
    <col min="6932" max="7165" width="11.42578125" style="41"/>
    <col min="7166" max="7166" width="5.42578125" style="41" customWidth="1"/>
    <col min="7167" max="7167" width="37" style="41" bestFit="1" customWidth="1"/>
    <col min="7168" max="7168" width="17.42578125" style="41" customWidth="1"/>
    <col min="7169" max="7169" width="11.42578125" style="41" bestFit="1" customWidth="1"/>
    <col min="7170" max="7170" width="12.85546875" style="41" bestFit="1" customWidth="1"/>
    <col min="7171" max="7171" width="7.5703125" style="41" bestFit="1" customWidth="1"/>
    <col min="7172" max="7172" width="16.42578125" style="41" bestFit="1" customWidth="1"/>
    <col min="7173" max="7173" width="13.42578125" style="41" bestFit="1" customWidth="1"/>
    <col min="7174" max="7174" width="16.42578125" style="41" bestFit="1" customWidth="1"/>
    <col min="7175" max="7175" width="11.42578125" style="41"/>
    <col min="7176" max="7176" width="18.42578125" style="41" bestFit="1" customWidth="1"/>
    <col min="7177" max="7177" width="11.42578125" style="41"/>
    <col min="7178" max="7178" width="14.42578125" style="41" bestFit="1" customWidth="1"/>
    <col min="7179" max="7186" width="11.42578125" style="41"/>
    <col min="7187" max="7187" width="18.42578125" style="41" bestFit="1" customWidth="1"/>
    <col min="7188" max="7421" width="11.42578125" style="41"/>
    <col min="7422" max="7422" width="5.42578125" style="41" customWidth="1"/>
    <col min="7423" max="7423" width="37" style="41" bestFit="1" customWidth="1"/>
    <col min="7424" max="7424" width="17.42578125" style="41" customWidth="1"/>
    <col min="7425" max="7425" width="11.42578125" style="41" bestFit="1" customWidth="1"/>
    <col min="7426" max="7426" width="12.85546875" style="41" bestFit="1" customWidth="1"/>
    <col min="7427" max="7427" width="7.5703125" style="41" bestFit="1" customWidth="1"/>
    <col min="7428" max="7428" width="16.42578125" style="41" bestFit="1" customWidth="1"/>
    <col min="7429" max="7429" width="13.42578125" style="41" bestFit="1" customWidth="1"/>
    <col min="7430" max="7430" width="16.42578125" style="41" bestFit="1" customWidth="1"/>
    <col min="7431" max="7431" width="11.42578125" style="41"/>
    <col min="7432" max="7432" width="18.42578125" style="41" bestFit="1" customWidth="1"/>
    <col min="7433" max="7433" width="11.42578125" style="41"/>
    <col min="7434" max="7434" width="14.42578125" style="41" bestFit="1" customWidth="1"/>
    <col min="7435" max="7442" width="11.42578125" style="41"/>
    <col min="7443" max="7443" width="18.42578125" style="41" bestFit="1" customWidth="1"/>
    <col min="7444" max="7677" width="11.42578125" style="41"/>
    <col min="7678" max="7678" width="5.42578125" style="41" customWidth="1"/>
    <col min="7679" max="7679" width="37" style="41" bestFit="1" customWidth="1"/>
    <col min="7680" max="7680" width="17.42578125" style="41" customWidth="1"/>
    <col min="7681" max="7681" width="11.42578125" style="41" bestFit="1" customWidth="1"/>
    <col min="7682" max="7682" width="12.85546875" style="41" bestFit="1" customWidth="1"/>
    <col min="7683" max="7683" width="7.5703125" style="41" bestFit="1" customWidth="1"/>
    <col min="7684" max="7684" width="16.42578125" style="41" bestFit="1" customWidth="1"/>
    <col min="7685" max="7685" width="13.42578125" style="41" bestFit="1" customWidth="1"/>
    <col min="7686" max="7686" width="16.42578125" style="41" bestFit="1" customWidth="1"/>
    <col min="7687" max="7687" width="11.42578125" style="41"/>
    <col min="7688" max="7688" width="18.42578125" style="41" bestFit="1" customWidth="1"/>
    <col min="7689" max="7689" width="11.42578125" style="41"/>
    <col min="7690" max="7690" width="14.42578125" style="41" bestFit="1" customWidth="1"/>
    <col min="7691" max="7698" width="11.42578125" style="41"/>
    <col min="7699" max="7699" width="18.42578125" style="41" bestFit="1" customWidth="1"/>
    <col min="7700" max="7933" width="11.42578125" style="41"/>
    <col min="7934" max="7934" width="5.42578125" style="41" customWidth="1"/>
    <col min="7935" max="7935" width="37" style="41" bestFit="1" customWidth="1"/>
    <col min="7936" max="7936" width="17.42578125" style="41" customWidth="1"/>
    <col min="7937" max="7937" width="11.42578125" style="41" bestFit="1" customWidth="1"/>
    <col min="7938" max="7938" width="12.85546875" style="41" bestFit="1" customWidth="1"/>
    <col min="7939" max="7939" width="7.5703125" style="41" bestFit="1" customWidth="1"/>
    <col min="7940" max="7940" width="16.42578125" style="41" bestFit="1" customWidth="1"/>
    <col min="7941" max="7941" width="13.42578125" style="41" bestFit="1" customWidth="1"/>
    <col min="7942" max="7942" width="16.42578125" style="41" bestFit="1" customWidth="1"/>
    <col min="7943" max="7943" width="11.42578125" style="41"/>
    <col min="7944" max="7944" width="18.42578125" style="41" bestFit="1" customWidth="1"/>
    <col min="7945" max="7945" width="11.42578125" style="41"/>
    <col min="7946" max="7946" width="14.42578125" style="41" bestFit="1" customWidth="1"/>
    <col min="7947" max="7954" width="11.42578125" style="41"/>
    <col min="7955" max="7955" width="18.42578125" style="41" bestFit="1" customWidth="1"/>
    <col min="7956" max="8189" width="11.42578125" style="41"/>
    <col min="8190" max="8190" width="5.42578125" style="41" customWidth="1"/>
    <col min="8191" max="8191" width="37" style="41" bestFit="1" customWidth="1"/>
    <col min="8192" max="8192" width="17.42578125" style="41" customWidth="1"/>
    <col min="8193" max="8193" width="11.42578125" style="41" bestFit="1" customWidth="1"/>
    <col min="8194" max="8194" width="12.85546875" style="41" bestFit="1" customWidth="1"/>
    <col min="8195" max="8195" width="7.5703125" style="41" bestFit="1" customWidth="1"/>
    <col min="8196" max="8196" width="16.42578125" style="41" bestFit="1" customWidth="1"/>
    <col min="8197" max="8197" width="13.42578125" style="41" bestFit="1" customWidth="1"/>
    <col min="8198" max="8198" width="16.42578125" style="41" bestFit="1" customWidth="1"/>
    <col min="8199" max="8199" width="11.42578125" style="41"/>
    <col min="8200" max="8200" width="18.42578125" style="41" bestFit="1" customWidth="1"/>
    <col min="8201" max="8201" width="11.42578125" style="41"/>
    <col min="8202" max="8202" width="14.42578125" style="41" bestFit="1" customWidth="1"/>
    <col min="8203" max="8210" width="11.42578125" style="41"/>
    <col min="8211" max="8211" width="18.42578125" style="41" bestFit="1" customWidth="1"/>
    <col min="8212" max="8445" width="11.42578125" style="41"/>
    <col min="8446" max="8446" width="5.42578125" style="41" customWidth="1"/>
    <col min="8447" max="8447" width="37" style="41" bestFit="1" customWidth="1"/>
    <col min="8448" max="8448" width="17.42578125" style="41" customWidth="1"/>
    <col min="8449" max="8449" width="11.42578125" style="41" bestFit="1" customWidth="1"/>
    <col min="8450" max="8450" width="12.85546875" style="41" bestFit="1" customWidth="1"/>
    <col min="8451" max="8451" width="7.5703125" style="41" bestFit="1" customWidth="1"/>
    <col min="8452" max="8452" width="16.42578125" style="41" bestFit="1" customWidth="1"/>
    <col min="8453" max="8453" width="13.42578125" style="41" bestFit="1" customWidth="1"/>
    <col min="8454" max="8454" width="16.42578125" style="41" bestFit="1" customWidth="1"/>
    <col min="8455" max="8455" width="11.42578125" style="41"/>
    <col min="8456" max="8456" width="18.42578125" style="41" bestFit="1" customWidth="1"/>
    <col min="8457" max="8457" width="11.42578125" style="41"/>
    <col min="8458" max="8458" width="14.42578125" style="41" bestFit="1" customWidth="1"/>
    <col min="8459" max="8466" width="11.42578125" style="41"/>
    <col min="8467" max="8467" width="18.42578125" style="41" bestFit="1" customWidth="1"/>
    <col min="8468" max="8701" width="11.42578125" style="41"/>
    <col min="8702" max="8702" width="5.42578125" style="41" customWidth="1"/>
    <col min="8703" max="8703" width="37" style="41" bestFit="1" customWidth="1"/>
    <col min="8704" max="8704" width="17.42578125" style="41" customWidth="1"/>
    <col min="8705" max="8705" width="11.42578125" style="41" bestFit="1" customWidth="1"/>
    <col min="8706" max="8706" width="12.85546875" style="41" bestFit="1" customWidth="1"/>
    <col min="8707" max="8707" width="7.5703125" style="41" bestFit="1" customWidth="1"/>
    <col min="8708" max="8708" width="16.42578125" style="41" bestFit="1" customWidth="1"/>
    <col min="8709" max="8709" width="13.42578125" style="41" bestFit="1" customWidth="1"/>
    <col min="8710" max="8710" width="16.42578125" style="41" bestFit="1" customWidth="1"/>
    <col min="8711" max="8711" width="11.42578125" style="41"/>
    <col min="8712" max="8712" width="18.42578125" style="41" bestFit="1" customWidth="1"/>
    <col min="8713" max="8713" width="11.42578125" style="41"/>
    <col min="8714" max="8714" width="14.42578125" style="41" bestFit="1" customWidth="1"/>
    <col min="8715" max="8722" width="11.42578125" style="41"/>
    <col min="8723" max="8723" width="18.42578125" style="41" bestFit="1" customWidth="1"/>
    <col min="8724" max="8957" width="11.42578125" style="41"/>
    <col min="8958" max="8958" width="5.42578125" style="41" customWidth="1"/>
    <col min="8959" max="8959" width="37" style="41" bestFit="1" customWidth="1"/>
    <col min="8960" max="8960" width="17.42578125" style="41" customWidth="1"/>
    <col min="8961" max="8961" width="11.42578125" style="41" bestFit="1" customWidth="1"/>
    <col min="8962" max="8962" width="12.85546875" style="41" bestFit="1" customWidth="1"/>
    <col min="8963" max="8963" width="7.5703125" style="41" bestFit="1" customWidth="1"/>
    <col min="8964" max="8964" width="16.42578125" style="41" bestFit="1" customWidth="1"/>
    <col min="8965" max="8965" width="13.42578125" style="41" bestFit="1" customWidth="1"/>
    <col min="8966" max="8966" width="16.42578125" style="41" bestFit="1" customWidth="1"/>
    <col min="8967" max="8967" width="11.42578125" style="41"/>
    <col min="8968" max="8968" width="18.42578125" style="41" bestFit="1" customWidth="1"/>
    <col min="8969" max="8969" width="11.42578125" style="41"/>
    <col min="8970" max="8970" width="14.42578125" style="41" bestFit="1" customWidth="1"/>
    <col min="8971" max="8978" width="11.42578125" style="41"/>
    <col min="8979" max="8979" width="18.42578125" style="41" bestFit="1" customWidth="1"/>
    <col min="8980" max="9213" width="11.42578125" style="41"/>
    <col min="9214" max="9214" width="5.42578125" style="41" customWidth="1"/>
    <col min="9215" max="9215" width="37" style="41" bestFit="1" customWidth="1"/>
    <col min="9216" max="9216" width="17.42578125" style="41" customWidth="1"/>
    <col min="9217" max="9217" width="11.42578125" style="41" bestFit="1" customWidth="1"/>
    <col min="9218" max="9218" width="12.85546875" style="41" bestFit="1" customWidth="1"/>
    <col min="9219" max="9219" width="7.5703125" style="41" bestFit="1" customWidth="1"/>
    <col min="9220" max="9220" width="16.42578125" style="41" bestFit="1" customWidth="1"/>
    <col min="9221" max="9221" width="13.42578125" style="41" bestFit="1" customWidth="1"/>
    <col min="9222" max="9222" width="16.42578125" style="41" bestFit="1" customWidth="1"/>
    <col min="9223" max="9223" width="11.42578125" style="41"/>
    <col min="9224" max="9224" width="18.42578125" style="41" bestFit="1" customWidth="1"/>
    <col min="9225" max="9225" width="11.42578125" style="41"/>
    <col min="9226" max="9226" width="14.42578125" style="41" bestFit="1" customWidth="1"/>
    <col min="9227" max="9234" width="11.42578125" style="41"/>
    <col min="9235" max="9235" width="18.42578125" style="41" bestFit="1" customWidth="1"/>
    <col min="9236" max="9469" width="11.42578125" style="41"/>
    <col min="9470" max="9470" width="5.42578125" style="41" customWidth="1"/>
    <col min="9471" max="9471" width="37" style="41" bestFit="1" customWidth="1"/>
    <col min="9472" max="9472" width="17.42578125" style="41" customWidth="1"/>
    <col min="9473" max="9473" width="11.42578125" style="41" bestFit="1" customWidth="1"/>
    <col min="9474" max="9474" width="12.85546875" style="41" bestFit="1" customWidth="1"/>
    <col min="9475" max="9475" width="7.5703125" style="41" bestFit="1" customWidth="1"/>
    <col min="9476" max="9476" width="16.42578125" style="41" bestFit="1" customWidth="1"/>
    <col min="9477" max="9477" width="13.42578125" style="41" bestFit="1" customWidth="1"/>
    <col min="9478" max="9478" width="16.42578125" style="41" bestFit="1" customWidth="1"/>
    <col min="9479" max="9479" width="11.42578125" style="41"/>
    <col min="9480" max="9480" width="18.42578125" style="41" bestFit="1" customWidth="1"/>
    <col min="9481" max="9481" width="11.42578125" style="41"/>
    <col min="9482" max="9482" width="14.42578125" style="41" bestFit="1" customWidth="1"/>
    <col min="9483" max="9490" width="11.42578125" style="41"/>
    <col min="9491" max="9491" width="18.42578125" style="41" bestFit="1" customWidth="1"/>
    <col min="9492" max="9725" width="11.42578125" style="41"/>
    <col min="9726" max="9726" width="5.42578125" style="41" customWidth="1"/>
    <col min="9727" max="9727" width="37" style="41" bestFit="1" customWidth="1"/>
    <col min="9728" max="9728" width="17.42578125" style="41" customWidth="1"/>
    <col min="9729" max="9729" width="11.42578125" style="41" bestFit="1" customWidth="1"/>
    <col min="9730" max="9730" width="12.85546875" style="41" bestFit="1" customWidth="1"/>
    <col min="9731" max="9731" width="7.5703125" style="41" bestFit="1" customWidth="1"/>
    <col min="9732" max="9732" width="16.42578125" style="41" bestFit="1" customWidth="1"/>
    <col min="9733" max="9733" width="13.42578125" style="41" bestFit="1" customWidth="1"/>
    <col min="9734" max="9734" width="16.42578125" style="41" bestFit="1" customWidth="1"/>
    <col min="9735" max="9735" width="11.42578125" style="41"/>
    <col min="9736" max="9736" width="18.42578125" style="41" bestFit="1" customWidth="1"/>
    <col min="9737" max="9737" width="11.42578125" style="41"/>
    <col min="9738" max="9738" width="14.42578125" style="41" bestFit="1" customWidth="1"/>
    <col min="9739" max="9746" width="11.42578125" style="41"/>
    <col min="9747" max="9747" width="18.42578125" style="41" bestFit="1" customWidth="1"/>
    <col min="9748" max="9981" width="11.42578125" style="41"/>
    <col min="9982" max="9982" width="5.42578125" style="41" customWidth="1"/>
    <col min="9983" max="9983" width="37" style="41" bestFit="1" customWidth="1"/>
    <col min="9984" max="9984" width="17.42578125" style="41" customWidth="1"/>
    <col min="9985" max="9985" width="11.42578125" style="41" bestFit="1" customWidth="1"/>
    <col min="9986" max="9986" width="12.85546875" style="41" bestFit="1" customWidth="1"/>
    <col min="9987" max="9987" width="7.5703125" style="41" bestFit="1" customWidth="1"/>
    <col min="9988" max="9988" width="16.42578125" style="41" bestFit="1" customWidth="1"/>
    <col min="9989" max="9989" width="13.42578125" style="41" bestFit="1" customWidth="1"/>
    <col min="9990" max="9990" width="16.42578125" style="41" bestFit="1" customWidth="1"/>
    <col min="9991" max="9991" width="11.42578125" style="41"/>
    <col min="9992" max="9992" width="18.42578125" style="41" bestFit="1" customWidth="1"/>
    <col min="9993" max="9993" width="11.42578125" style="41"/>
    <col min="9994" max="9994" width="14.42578125" style="41" bestFit="1" customWidth="1"/>
    <col min="9995" max="10002" width="11.42578125" style="41"/>
    <col min="10003" max="10003" width="18.42578125" style="41" bestFit="1" customWidth="1"/>
    <col min="10004" max="10237" width="11.42578125" style="41"/>
    <col min="10238" max="10238" width="5.42578125" style="41" customWidth="1"/>
    <col min="10239" max="10239" width="37" style="41" bestFit="1" customWidth="1"/>
    <col min="10240" max="10240" width="17.42578125" style="41" customWidth="1"/>
    <col min="10241" max="10241" width="11.42578125" style="41" bestFit="1" customWidth="1"/>
    <col min="10242" max="10242" width="12.85546875" style="41" bestFit="1" customWidth="1"/>
    <col min="10243" max="10243" width="7.5703125" style="41" bestFit="1" customWidth="1"/>
    <col min="10244" max="10244" width="16.42578125" style="41" bestFit="1" customWidth="1"/>
    <col min="10245" max="10245" width="13.42578125" style="41" bestFit="1" customWidth="1"/>
    <col min="10246" max="10246" width="16.42578125" style="41" bestFit="1" customWidth="1"/>
    <col min="10247" max="10247" width="11.42578125" style="41"/>
    <col min="10248" max="10248" width="18.42578125" style="41" bestFit="1" customWidth="1"/>
    <col min="10249" max="10249" width="11.42578125" style="41"/>
    <col min="10250" max="10250" width="14.42578125" style="41" bestFit="1" customWidth="1"/>
    <col min="10251" max="10258" width="11.42578125" style="41"/>
    <col min="10259" max="10259" width="18.42578125" style="41" bestFit="1" customWidth="1"/>
    <col min="10260" max="10493" width="11.42578125" style="41"/>
    <col min="10494" max="10494" width="5.42578125" style="41" customWidth="1"/>
    <col min="10495" max="10495" width="37" style="41" bestFit="1" customWidth="1"/>
    <col min="10496" max="10496" width="17.42578125" style="41" customWidth="1"/>
    <col min="10497" max="10497" width="11.42578125" style="41" bestFit="1" customWidth="1"/>
    <col min="10498" max="10498" width="12.85546875" style="41" bestFit="1" customWidth="1"/>
    <col min="10499" max="10499" width="7.5703125" style="41" bestFit="1" customWidth="1"/>
    <col min="10500" max="10500" width="16.42578125" style="41" bestFit="1" customWidth="1"/>
    <col min="10501" max="10501" width="13.42578125" style="41" bestFit="1" customWidth="1"/>
    <col min="10502" max="10502" width="16.42578125" style="41" bestFit="1" customWidth="1"/>
    <col min="10503" max="10503" width="11.42578125" style="41"/>
    <col min="10504" max="10504" width="18.42578125" style="41" bestFit="1" customWidth="1"/>
    <col min="10505" max="10505" width="11.42578125" style="41"/>
    <col min="10506" max="10506" width="14.42578125" style="41" bestFit="1" customWidth="1"/>
    <col min="10507" max="10514" width="11.42578125" style="41"/>
    <col min="10515" max="10515" width="18.42578125" style="41" bestFit="1" customWidth="1"/>
    <col min="10516" max="10749" width="11.42578125" style="41"/>
    <col min="10750" max="10750" width="5.42578125" style="41" customWidth="1"/>
    <col min="10751" max="10751" width="37" style="41" bestFit="1" customWidth="1"/>
    <col min="10752" max="10752" width="17.42578125" style="41" customWidth="1"/>
    <col min="10753" max="10753" width="11.42578125" style="41" bestFit="1" customWidth="1"/>
    <col min="10754" max="10754" width="12.85546875" style="41" bestFit="1" customWidth="1"/>
    <col min="10755" max="10755" width="7.5703125" style="41" bestFit="1" customWidth="1"/>
    <col min="10756" max="10756" width="16.42578125" style="41" bestFit="1" customWidth="1"/>
    <col min="10757" max="10757" width="13.42578125" style="41" bestFit="1" customWidth="1"/>
    <col min="10758" max="10758" width="16.42578125" style="41" bestFit="1" customWidth="1"/>
    <col min="10759" max="10759" width="11.42578125" style="41"/>
    <col min="10760" max="10760" width="18.42578125" style="41" bestFit="1" customWidth="1"/>
    <col min="10761" max="10761" width="11.42578125" style="41"/>
    <col min="10762" max="10762" width="14.42578125" style="41" bestFit="1" customWidth="1"/>
    <col min="10763" max="10770" width="11.42578125" style="41"/>
    <col min="10771" max="10771" width="18.42578125" style="41" bestFit="1" customWidth="1"/>
    <col min="10772" max="11005" width="11.42578125" style="41"/>
    <col min="11006" max="11006" width="5.42578125" style="41" customWidth="1"/>
    <col min="11007" max="11007" width="37" style="41" bestFit="1" customWidth="1"/>
    <col min="11008" max="11008" width="17.42578125" style="41" customWidth="1"/>
    <col min="11009" max="11009" width="11.42578125" style="41" bestFit="1" customWidth="1"/>
    <col min="11010" max="11010" width="12.85546875" style="41" bestFit="1" customWidth="1"/>
    <col min="11011" max="11011" width="7.5703125" style="41" bestFit="1" customWidth="1"/>
    <col min="11012" max="11012" width="16.42578125" style="41" bestFit="1" customWidth="1"/>
    <col min="11013" max="11013" width="13.42578125" style="41" bestFit="1" customWidth="1"/>
    <col min="11014" max="11014" width="16.42578125" style="41" bestFit="1" customWidth="1"/>
    <col min="11015" max="11015" width="11.42578125" style="41"/>
    <col min="11016" max="11016" width="18.42578125" style="41" bestFit="1" customWidth="1"/>
    <col min="11017" max="11017" width="11.42578125" style="41"/>
    <col min="11018" max="11018" width="14.42578125" style="41" bestFit="1" customWidth="1"/>
    <col min="11019" max="11026" width="11.42578125" style="41"/>
    <col min="11027" max="11027" width="18.42578125" style="41" bestFit="1" customWidth="1"/>
    <col min="11028" max="11261" width="11.42578125" style="41"/>
    <col min="11262" max="11262" width="5.42578125" style="41" customWidth="1"/>
    <col min="11263" max="11263" width="37" style="41" bestFit="1" customWidth="1"/>
    <col min="11264" max="11264" width="17.42578125" style="41" customWidth="1"/>
    <col min="11265" max="11265" width="11.42578125" style="41" bestFit="1" customWidth="1"/>
    <col min="11266" max="11266" width="12.85546875" style="41" bestFit="1" customWidth="1"/>
    <col min="11267" max="11267" width="7.5703125" style="41" bestFit="1" customWidth="1"/>
    <col min="11268" max="11268" width="16.42578125" style="41" bestFit="1" customWidth="1"/>
    <col min="11269" max="11269" width="13.42578125" style="41" bestFit="1" customWidth="1"/>
    <col min="11270" max="11270" width="16.42578125" style="41" bestFit="1" customWidth="1"/>
    <col min="11271" max="11271" width="11.42578125" style="41"/>
    <col min="11272" max="11272" width="18.42578125" style="41" bestFit="1" customWidth="1"/>
    <col min="11273" max="11273" width="11.42578125" style="41"/>
    <col min="11274" max="11274" width="14.42578125" style="41" bestFit="1" customWidth="1"/>
    <col min="11275" max="11282" width="11.42578125" style="41"/>
    <col min="11283" max="11283" width="18.42578125" style="41" bestFit="1" customWidth="1"/>
    <col min="11284" max="11517" width="11.42578125" style="41"/>
    <col min="11518" max="11518" width="5.42578125" style="41" customWidth="1"/>
    <col min="11519" max="11519" width="37" style="41" bestFit="1" customWidth="1"/>
    <col min="11520" max="11520" width="17.42578125" style="41" customWidth="1"/>
    <col min="11521" max="11521" width="11.42578125" style="41" bestFit="1" customWidth="1"/>
    <col min="11522" max="11522" width="12.85546875" style="41" bestFit="1" customWidth="1"/>
    <col min="11523" max="11523" width="7.5703125" style="41" bestFit="1" customWidth="1"/>
    <col min="11524" max="11524" width="16.42578125" style="41" bestFit="1" customWidth="1"/>
    <col min="11525" max="11525" width="13.42578125" style="41" bestFit="1" customWidth="1"/>
    <col min="11526" max="11526" width="16.42578125" style="41" bestFit="1" customWidth="1"/>
    <col min="11527" max="11527" width="11.42578125" style="41"/>
    <col min="11528" max="11528" width="18.42578125" style="41" bestFit="1" customWidth="1"/>
    <col min="11529" max="11529" width="11.42578125" style="41"/>
    <col min="11530" max="11530" width="14.42578125" style="41" bestFit="1" customWidth="1"/>
    <col min="11531" max="11538" width="11.42578125" style="41"/>
    <col min="11539" max="11539" width="18.42578125" style="41" bestFit="1" customWidth="1"/>
    <col min="11540" max="11773" width="11.42578125" style="41"/>
    <col min="11774" max="11774" width="5.42578125" style="41" customWidth="1"/>
    <col min="11775" max="11775" width="37" style="41" bestFit="1" customWidth="1"/>
    <col min="11776" max="11776" width="17.42578125" style="41" customWidth="1"/>
    <col min="11777" max="11777" width="11.42578125" style="41" bestFit="1" customWidth="1"/>
    <col min="11778" max="11778" width="12.85546875" style="41" bestFit="1" customWidth="1"/>
    <col min="11779" max="11779" width="7.5703125" style="41" bestFit="1" customWidth="1"/>
    <col min="11780" max="11780" width="16.42578125" style="41" bestFit="1" customWidth="1"/>
    <col min="11781" max="11781" width="13.42578125" style="41" bestFit="1" customWidth="1"/>
    <col min="11782" max="11782" width="16.42578125" style="41" bestFit="1" customWidth="1"/>
    <col min="11783" max="11783" width="11.42578125" style="41"/>
    <col min="11784" max="11784" width="18.42578125" style="41" bestFit="1" customWidth="1"/>
    <col min="11785" max="11785" width="11.42578125" style="41"/>
    <col min="11786" max="11786" width="14.42578125" style="41" bestFit="1" customWidth="1"/>
    <col min="11787" max="11794" width="11.42578125" style="41"/>
    <col min="11795" max="11795" width="18.42578125" style="41" bestFit="1" customWidth="1"/>
    <col min="11796" max="12029" width="11.42578125" style="41"/>
    <col min="12030" max="12030" width="5.42578125" style="41" customWidth="1"/>
    <col min="12031" max="12031" width="37" style="41" bestFit="1" customWidth="1"/>
    <col min="12032" max="12032" width="17.42578125" style="41" customWidth="1"/>
    <col min="12033" max="12033" width="11.42578125" style="41" bestFit="1" customWidth="1"/>
    <col min="12034" max="12034" width="12.85546875" style="41" bestFit="1" customWidth="1"/>
    <col min="12035" max="12035" width="7.5703125" style="41" bestFit="1" customWidth="1"/>
    <col min="12036" max="12036" width="16.42578125" style="41" bestFit="1" customWidth="1"/>
    <col min="12037" max="12037" width="13.42578125" style="41" bestFit="1" customWidth="1"/>
    <col min="12038" max="12038" width="16.42578125" style="41" bestFit="1" customWidth="1"/>
    <col min="12039" max="12039" width="11.42578125" style="41"/>
    <col min="12040" max="12040" width="18.42578125" style="41" bestFit="1" customWidth="1"/>
    <col min="12041" max="12041" width="11.42578125" style="41"/>
    <col min="12042" max="12042" width="14.42578125" style="41" bestFit="1" customWidth="1"/>
    <col min="12043" max="12050" width="11.42578125" style="41"/>
    <col min="12051" max="12051" width="18.42578125" style="41" bestFit="1" customWidth="1"/>
    <col min="12052" max="12285" width="11.42578125" style="41"/>
    <col min="12286" max="12286" width="5.42578125" style="41" customWidth="1"/>
    <col min="12287" max="12287" width="37" style="41" bestFit="1" customWidth="1"/>
    <col min="12288" max="12288" width="17.42578125" style="41" customWidth="1"/>
    <col min="12289" max="12289" width="11.42578125" style="41" bestFit="1" customWidth="1"/>
    <col min="12290" max="12290" width="12.85546875" style="41" bestFit="1" customWidth="1"/>
    <col min="12291" max="12291" width="7.5703125" style="41" bestFit="1" customWidth="1"/>
    <col min="12292" max="12292" width="16.42578125" style="41" bestFit="1" customWidth="1"/>
    <col min="12293" max="12293" width="13.42578125" style="41" bestFit="1" customWidth="1"/>
    <col min="12294" max="12294" width="16.42578125" style="41" bestFit="1" customWidth="1"/>
    <col min="12295" max="12295" width="11.42578125" style="41"/>
    <col min="12296" max="12296" width="18.42578125" style="41" bestFit="1" customWidth="1"/>
    <col min="12297" max="12297" width="11.42578125" style="41"/>
    <col min="12298" max="12298" width="14.42578125" style="41" bestFit="1" customWidth="1"/>
    <col min="12299" max="12306" width="11.42578125" style="41"/>
    <col min="12307" max="12307" width="18.42578125" style="41" bestFit="1" customWidth="1"/>
    <col min="12308" max="12541" width="11.42578125" style="41"/>
    <col min="12542" max="12542" width="5.42578125" style="41" customWidth="1"/>
    <col min="12543" max="12543" width="37" style="41" bestFit="1" customWidth="1"/>
    <col min="12544" max="12544" width="17.42578125" style="41" customWidth="1"/>
    <col min="12545" max="12545" width="11.42578125" style="41" bestFit="1" customWidth="1"/>
    <col min="12546" max="12546" width="12.85546875" style="41" bestFit="1" customWidth="1"/>
    <col min="12547" max="12547" width="7.5703125" style="41" bestFit="1" customWidth="1"/>
    <col min="12548" max="12548" width="16.42578125" style="41" bestFit="1" customWidth="1"/>
    <col min="12549" max="12549" width="13.42578125" style="41" bestFit="1" customWidth="1"/>
    <col min="12550" max="12550" width="16.42578125" style="41" bestFit="1" customWidth="1"/>
    <col min="12551" max="12551" width="11.42578125" style="41"/>
    <col min="12552" max="12552" width="18.42578125" style="41" bestFit="1" customWidth="1"/>
    <col min="12553" max="12553" width="11.42578125" style="41"/>
    <col min="12554" max="12554" width="14.42578125" style="41" bestFit="1" customWidth="1"/>
    <col min="12555" max="12562" width="11.42578125" style="41"/>
    <col min="12563" max="12563" width="18.42578125" style="41" bestFit="1" customWidth="1"/>
    <col min="12564" max="12797" width="11.42578125" style="41"/>
    <col min="12798" max="12798" width="5.42578125" style="41" customWidth="1"/>
    <col min="12799" max="12799" width="37" style="41" bestFit="1" customWidth="1"/>
    <col min="12800" max="12800" width="17.42578125" style="41" customWidth="1"/>
    <col min="12801" max="12801" width="11.42578125" style="41" bestFit="1" customWidth="1"/>
    <col min="12802" max="12802" width="12.85546875" style="41" bestFit="1" customWidth="1"/>
    <col min="12803" max="12803" width="7.5703125" style="41" bestFit="1" customWidth="1"/>
    <col min="12804" max="12804" width="16.42578125" style="41" bestFit="1" customWidth="1"/>
    <col min="12805" max="12805" width="13.42578125" style="41" bestFit="1" customWidth="1"/>
    <col min="12806" max="12806" width="16.42578125" style="41" bestFit="1" customWidth="1"/>
    <col min="12807" max="12807" width="11.42578125" style="41"/>
    <col min="12808" max="12808" width="18.42578125" style="41" bestFit="1" customWidth="1"/>
    <col min="12809" max="12809" width="11.42578125" style="41"/>
    <col min="12810" max="12810" width="14.42578125" style="41" bestFit="1" customWidth="1"/>
    <col min="12811" max="12818" width="11.42578125" style="41"/>
    <col min="12819" max="12819" width="18.42578125" style="41" bestFit="1" customWidth="1"/>
    <col min="12820" max="13053" width="11.42578125" style="41"/>
    <col min="13054" max="13054" width="5.42578125" style="41" customWidth="1"/>
    <col min="13055" max="13055" width="37" style="41" bestFit="1" customWidth="1"/>
    <col min="13056" max="13056" width="17.42578125" style="41" customWidth="1"/>
    <col min="13057" max="13057" width="11.42578125" style="41" bestFit="1" customWidth="1"/>
    <col min="13058" max="13058" width="12.85546875" style="41" bestFit="1" customWidth="1"/>
    <col min="13059" max="13059" width="7.5703125" style="41" bestFit="1" customWidth="1"/>
    <col min="13060" max="13060" width="16.42578125" style="41" bestFit="1" customWidth="1"/>
    <col min="13061" max="13061" width="13.42578125" style="41" bestFit="1" customWidth="1"/>
    <col min="13062" max="13062" width="16.42578125" style="41" bestFit="1" customWidth="1"/>
    <col min="13063" max="13063" width="11.42578125" style="41"/>
    <col min="13064" max="13064" width="18.42578125" style="41" bestFit="1" customWidth="1"/>
    <col min="13065" max="13065" width="11.42578125" style="41"/>
    <col min="13066" max="13066" width="14.42578125" style="41" bestFit="1" customWidth="1"/>
    <col min="13067" max="13074" width="11.42578125" style="41"/>
    <col min="13075" max="13075" width="18.42578125" style="41" bestFit="1" customWidth="1"/>
    <col min="13076" max="13309" width="11.42578125" style="41"/>
    <col min="13310" max="13310" width="5.42578125" style="41" customWidth="1"/>
    <col min="13311" max="13311" width="37" style="41" bestFit="1" customWidth="1"/>
    <col min="13312" max="13312" width="17.42578125" style="41" customWidth="1"/>
    <col min="13313" max="13313" width="11.42578125" style="41" bestFit="1" customWidth="1"/>
    <col min="13314" max="13314" width="12.85546875" style="41" bestFit="1" customWidth="1"/>
    <col min="13315" max="13315" width="7.5703125" style="41" bestFit="1" customWidth="1"/>
    <col min="13316" max="13316" width="16.42578125" style="41" bestFit="1" customWidth="1"/>
    <col min="13317" max="13317" width="13.42578125" style="41" bestFit="1" customWidth="1"/>
    <col min="13318" max="13318" width="16.42578125" style="41" bestFit="1" customWidth="1"/>
    <col min="13319" max="13319" width="11.42578125" style="41"/>
    <col min="13320" max="13320" width="18.42578125" style="41" bestFit="1" customWidth="1"/>
    <col min="13321" max="13321" width="11.42578125" style="41"/>
    <col min="13322" max="13322" width="14.42578125" style="41" bestFit="1" customWidth="1"/>
    <col min="13323" max="13330" width="11.42578125" style="41"/>
    <col min="13331" max="13331" width="18.42578125" style="41" bestFit="1" customWidth="1"/>
    <col min="13332" max="13565" width="11.42578125" style="41"/>
    <col min="13566" max="13566" width="5.42578125" style="41" customWidth="1"/>
    <col min="13567" max="13567" width="37" style="41" bestFit="1" customWidth="1"/>
    <col min="13568" max="13568" width="17.42578125" style="41" customWidth="1"/>
    <col min="13569" max="13569" width="11.42578125" style="41" bestFit="1" customWidth="1"/>
    <col min="13570" max="13570" width="12.85546875" style="41" bestFit="1" customWidth="1"/>
    <col min="13571" max="13571" width="7.5703125" style="41" bestFit="1" customWidth="1"/>
    <col min="13572" max="13572" width="16.42578125" style="41" bestFit="1" customWidth="1"/>
    <col min="13573" max="13573" width="13.42578125" style="41" bestFit="1" customWidth="1"/>
    <col min="13574" max="13574" width="16.42578125" style="41" bestFit="1" customWidth="1"/>
    <col min="13575" max="13575" width="11.42578125" style="41"/>
    <col min="13576" max="13576" width="18.42578125" style="41" bestFit="1" customWidth="1"/>
    <col min="13577" max="13577" width="11.42578125" style="41"/>
    <col min="13578" max="13578" width="14.42578125" style="41" bestFit="1" customWidth="1"/>
    <col min="13579" max="13586" width="11.42578125" style="41"/>
    <col min="13587" max="13587" width="18.42578125" style="41" bestFit="1" customWidth="1"/>
    <col min="13588" max="13821" width="11.42578125" style="41"/>
    <col min="13822" max="13822" width="5.42578125" style="41" customWidth="1"/>
    <col min="13823" max="13823" width="37" style="41" bestFit="1" customWidth="1"/>
    <col min="13824" max="13824" width="17.42578125" style="41" customWidth="1"/>
    <col min="13825" max="13825" width="11.42578125" style="41" bestFit="1" customWidth="1"/>
    <col min="13826" max="13826" width="12.85546875" style="41" bestFit="1" customWidth="1"/>
    <col min="13827" max="13827" width="7.5703125" style="41" bestFit="1" customWidth="1"/>
    <col min="13828" max="13828" width="16.42578125" style="41" bestFit="1" customWidth="1"/>
    <col min="13829" max="13829" width="13.42578125" style="41" bestFit="1" customWidth="1"/>
    <col min="13830" max="13830" width="16.42578125" style="41" bestFit="1" customWidth="1"/>
    <col min="13831" max="13831" width="11.42578125" style="41"/>
    <col min="13832" max="13832" width="18.42578125" style="41" bestFit="1" customWidth="1"/>
    <col min="13833" max="13833" width="11.42578125" style="41"/>
    <col min="13834" max="13834" width="14.42578125" style="41" bestFit="1" customWidth="1"/>
    <col min="13835" max="13842" width="11.42578125" style="41"/>
    <col min="13843" max="13843" width="18.42578125" style="41" bestFit="1" customWidth="1"/>
    <col min="13844" max="14077" width="11.42578125" style="41"/>
    <col min="14078" max="14078" width="5.42578125" style="41" customWidth="1"/>
    <col min="14079" max="14079" width="37" style="41" bestFit="1" customWidth="1"/>
    <col min="14080" max="14080" width="17.42578125" style="41" customWidth="1"/>
    <col min="14081" max="14081" width="11.42578125" style="41" bestFit="1" customWidth="1"/>
    <col min="14082" max="14082" width="12.85546875" style="41" bestFit="1" customWidth="1"/>
    <col min="14083" max="14083" width="7.5703125" style="41" bestFit="1" customWidth="1"/>
    <col min="14084" max="14084" width="16.42578125" style="41" bestFit="1" customWidth="1"/>
    <col min="14085" max="14085" width="13.42578125" style="41" bestFit="1" customWidth="1"/>
    <col min="14086" max="14086" width="16.42578125" style="41" bestFit="1" customWidth="1"/>
    <col min="14087" max="14087" width="11.42578125" style="41"/>
    <col min="14088" max="14088" width="18.42578125" style="41" bestFit="1" customWidth="1"/>
    <col min="14089" max="14089" width="11.42578125" style="41"/>
    <col min="14090" max="14090" width="14.42578125" style="41" bestFit="1" customWidth="1"/>
    <col min="14091" max="14098" width="11.42578125" style="41"/>
    <col min="14099" max="14099" width="18.42578125" style="41" bestFit="1" customWidth="1"/>
    <col min="14100" max="14333" width="11.42578125" style="41"/>
    <col min="14334" max="14334" width="5.42578125" style="41" customWidth="1"/>
    <col min="14335" max="14335" width="37" style="41" bestFit="1" customWidth="1"/>
    <col min="14336" max="14336" width="17.42578125" style="41" customWidth="1"/>
    <col min="14337" max="14337" width="11.42578125" style="41" bestFit="1" customWidth="1"/>
    <col min="14338" max="14338" width="12.85546875" style="41" bestFit="1" customWidth="1"/>
    <col min="14339" max="14339" width="7.5703125" style="41" bestFit="1" customWidth="1"/>
    <col min="14340" max="14340" width="16.42578125" style="41" bestFit="1" customWidth="1"/>
    <col min="14341" max="14341" width="13.42578125" style="41" bestFit="1" customWidth="1"/>
    <col min="14342" max="14342" width="16.42578125" style="41" bestFit="1" customWidth="1"/>
    <col min="14343" max="14343" width="11.42578125" style="41"/>
    <col min="14344" max="14344" width="18.42578125" style="41" bestFit="1" customWidth="1"/>
    <col min="14345" max="14345" width="11.42578125" style="41"/>
    <col min="14346" max="14346" width="14.42578125" style="41" bestFit="1" customWidth="1"/>
    <col min="14347" max="14354" width="11.42578125" style="41"/>
    <col min="14355" max="14355" width="18.42578125" style="41" bestFit="1" customWidth="1"/>
    <col min="14356" max="14589" width="11.42578125" style="41"/>
    <col min="14590" max="14590" width="5.42578125" style="41" customWidth="1"/>
    <col min="14591" max="14591" width="37" style="41" bestFit="1" customWidth="1"/>
    <col min="14592" max="14592" width="17.42578125" style="41" customWidth="1"/>
    <col min="14593" max="14593" width="11.42578125" style="41" bestFit="1" customWidth="1"/>
    <col min="14594" max="14594" width="12.85546875" style="41" bestFit="1" customWidth="1"/>
    <col min="14595" max="14595" width="7.5703125" style="41" bestFit="1" customWidth="1"/>
    <col min="14596" max="14596" width="16.42578125" style="41" bestFit="1" customWidth="1"/>
    <col min="14597" max="14597" width="13.42578125" style="41" bestFit="1" customWidth="1"/>
    <col min="14598" max="14598" width="16.42578125" style="41" bestFit="1" customWidth="1"/>
    <col min="14599" max="14599" width="11.42578125" style="41"/>
    <col min="14600" max="14600" width="18.42578125" style="41" bestFit="1" customWidth="1"/>
    <col min="14601" max="14601" width="11.42578125" style="41"/>
    <col min="14602" max="14602" width="14.42578125" style="41" bestFit="1" customWidth="1"/>
    <col min="14603" max="14610" width="11.42578125" style="41"/>
    <col min="14611" max="14611" width="18.42578125" style="41" bestFit="1" customWidth="1"/>
    <col min="14612" max="14845" width="11.42578125" style="41"/>
    <col min="14846" max="14846" width="5.42578125" style="41" customWidth="1"/>
    <col min="14847" max="14847" width="37" style="41" bestFit="1" customWidth="1"/>
    <col min="14848" max="14848" width="17.42578125" style="41" customWidth="1"/>
    <col min="14849" max="14849" width="11.42578125" style="41" bestFit="1" customWidth="1"/>
    <col min="14850" max="14850" width="12.85546875" style="41" bestFit="1" customWidth="1"/>
    <col min="14851" max="14851" width="7.5703125" style="41" bestFit="1" customWidth="1"/>
    <col min="14852" max="14852" width="16.42578125" style="41" bestFit="1" customWidth="1"/>
    <col min="14853" max="14853" width="13.42578125" style="41" bestFit="1" customWidth="1"/>
    <col min="14854" max="14854" width="16.42578125" style="41" bestFit="1" customWidth="1"/>
    <col min="14855" max="14855" width="11.42578125" style="41"/>
    <col min="14856" max="14856" width="18.42578125" style="41" bestFit="1" customWidth="1"/>
    <col min="14857" max="14857" width="11.42578125" style="41"/>
    <col min="14858" max="14858" width="14.42578125" style="41" bestFit="1" customWidth="1"/>
    <col min="14859" max="14866" width="11.42578125" style="41"/>
    <col min="14867" max="14867" width="18.42578125" style="41" bestFit="1" customWidth="1"/>
    <col min="14868" max="15101" width="11.42578125" style="41"/>
    <col min="15102" max="15102" width="5.42578125" style="41" customWidth="1"/>
    <col min="15103" max="15103" width="37" style="41" bestFit="1" customWidth="1"/>
    <col min="15104" max="15104" width="17.42578125" style="41" customWidth="1"/>
    <col min="15105" max="15105" width="11.42578125" style="41" bestFit="1" customWidth="1"/>
    <col min="15106" max="15106" width="12.85546875" style="41" bestFit="1" customWidth="1"/>
    <col min="15107" max="15107" width="7.5703125" style="41" bestFit="1" customWidth="1"/>
    <col min="15108" max="15108" width="16.42578125" style="41" bestFit="1" customWidth="1"/>
    <col min="15109" max="15109" width="13.42578125" style="41" bestFit="1" customWidth="1"/>
    <col min="15110" max="15110" width="16.42578125" style="41" bestFit="1" customWidth="1"/>
    <col min="15111" max="15111" width="11.42578125" style="41"/>
    <col min="15112" max="15112" width="18.42578125" style="41" bestFit="1" customWidth="1"/>
    <col min="15113" max="15113" width="11.42578125" style="41"/>
    <col min="15114" max="15114" width="14.42578125" style="41" bestFit="1" customWidth="1"/>
    <col min="15115" max="15122" width="11.42578125" style="41"/>
    <col min="15123" max="15123" width="18.42578125" style="41" bestFit="1" customWidth="1"/>
    <col min="15124" max="15357" width="11.42578125" style="41"/>
    <col min="15358" max="15358" width="5.42578125" style="41" customWidth="1"/>
    <col min="15359" max="15359" width="37" style="41" bestFit="1" customWidth="1"/>
    <col min="15360" max="15360" width="17.42578125" style="41" customWidth="1"/>
    <col min="15361" max="15361" width="11.42578125" style="41" bestFit="1" customWidth="1"/>
    <col min="15362" max="15362" width="12.85546875" style="41" bestFit="1" customWidth="1"/>
    <col min="15363" max="15363" width="7.5703125" style="41" bestFit="1" customWidth="1"/>
    <col min="15364" max="15364" width="16.42578125" style="41" bestFit="1" customWidth="1"/>
    <col min="15365" max="15365" width="13.42578125" style="41" bestFit="1" customWidth="1"/>
    <col min="15366" max="15366" width="16.42578125" style="41" bestFit="1" customWidth="1"/>
    <col min="15367" max="15367" width="11.42578125" style="41"/>
    <col min="15368" max="15368" width="18.42578125" style="41" bestFit="1" customWidth="1"/>
    <col min="15369" max="15369" width="11.42578125" style="41"/>
    <col min="15370" max="15370" width="14.42578125" style="41" bestFit="1" customWidth="1"/>
    <col min="15371" max="15378" width="11.42578125" style="41"/>
    <col min="15379" max="15379" width="18.42578125" style="41" bestFit="1" customWidth="1"/>
    <col min="15380" max="15613" width="11.42578125" style="41"/>
    <col min="15614" max="15614" width="5.42578125" style="41" customWidth="1"/>
    <col min="15615" max="15615" width="37" style="41" bestFit="1" customWidth="1"/>
    <col min="15616" max="15616" width="17.42578125" style="41" customWidth="1"/>
    <col min="15617" max="15617" width="11.42578125" style="41" bestFit="1" customWidth="1"/>
    <col min="15618" max="15618" width="12.85546875" style="41" bestFit="1" customWidth="1"/>
    <col min="15619" max="15619" width="7.5703125" style="41" bestFit="1" customWidth="1"/>
    <col min="15620" max="15620" width="16.42578125" style="41" bestFit="1" customWidth="1"/>
    <col min="15621" max="15621" width="13.42578125" style="41" bestFit="1" customWidth="1"/>
    <col min="15622" max="15622" width="16.42578125" style="41" bestFit="1" customWidth="1"/>
    <col min="15623" max="15623" width="11.42578125" style="41"/>
    <col min="15624" max="15624" width="18.42578125" style="41" bestFit="1" customWidth="1"/>
    <col min="15625" max="15625" width="11.42578125" style="41"/>
    <col min="15626" max="15626" width="14.42578125" style="41" bestFit="1" customWidth="1"/>
    <col min="15627" max="15634" width="11.42578125" style="41"/>
    <col min="15635" max="15635" width="18.42578125" style="41" bestFit="1" customWidth="1"/>
    <col min="15636" max="15869" width="11.42578125" style="41"/>
    <col min="15870" max="15870" width="5.42578125" style="41" customWidth="1"/>
    <col min="15871" max="15871" width="37" style="41" bestFit="1" customWidth="1"/>
    <col min="15872" max="15872" width="17.42578125" style="41" customWidth="1"/>
    <col min="15873" max="15873" width="11.42578125" style="41" bestFit="1" customWidth="1"/>
    <col min="15874" max="15874" width="12.85546875" style="41" bestFit="1" customWidth="1"/>
    <col min="15875" max="15875" width="7.5703125" style="41" bestFit="1" customWidth="1"/>
    <col min="15876" max="15876" width="16.42578125" style="41" bestFit="1" customWidth="1"/>
    <col min="15877" max="15877" width="13.42578125" style="41" bestFit="1" customWidth="1"/>
    <col min="15878" max="15878" width="16.42578125" style="41" bestFit="1" customWidth="1"/>
    <col min="15879" max="15879" width="11.42578125" style="41"/>
    <col min="15880" max="15880" width="18.42578125" style="41" bestFit="1" customWidth="1"/>
    <col min="15881" max="15881" width="11.42578125" style="41"/>
    <col min="15882" max="15882" width="14.42578125" style="41" bestFit="1" customWidth="1"/>
    <col min="15883" max="15890" width="11.42578125" style="41"/>
    <col min="15891" max="15891" width="18.42578125" style="41" bestFit="1" customWidth="1"/>
    <col min="15892" max="16125" width="11.42578125" style="41"/>
    <col min="16126" max="16126" width="5.42578125" style="41" customWidth="1"/>
    <col min="16127" max="16127" width="37" style="41" bestFit="1" customWidth="1"/>
    <col min="16128" max="16128" width="17.42578125" style="41" customWidth="1"/>
    <col min="16129" max="16129" width="11.42578125" style="41" bestFit="1" customWidth="1"/>
    <col min="16130" max="16130" width="12.85546875" style="41" bestFit="1" customWidth="1"/>
    <col min="16131" max="16131" width="7.5703125" style="41" bestFit="1" customWidth="1"/>
    <col min="16132" max="16132" width="16.42578125" style="41" bestFit="1" customWidth="1"/>
    <col min="16133" max="16133" width="13.42578125" style="41" bestFit="1" customWidth="1"/>
    <col min="16134" max="16134" width="16.42578125" style="41" bestFit="1" customWidth="1"/>
    <col min="16135" max="16135" width="11.42578125" style="41"/>
    <col min="16136" max="16136" width="18.42578125" style="41" bestFit="1" customWidth="1"/>
    <col min="16137" max="16137" width="11.42578125" style="41"/>
    <col min="16138" max="16138" width="14.42578125" style="41" bestFit="1" customWidth="1"/>
    <col min="16139" max="16146" width="11.42578125" style="41"/>
    <col min="16147" max="16147" width="18.42578125" style="41" bestFit="1" customWidth="1"/>
    <col min="16148" max="16380" width="11.42578125" style="41"/>
    <col min="16381" max="16384" width="10.85546875" style="41" customWidth="1"/>
  </cols>
  <sheetData>
    <row r="1" spans="1:17" ht="9.75" customHeight="1" thickBot="1" x14ac:dyDescent="0.3"/>
    <row r="2" spans="1:17" ht="20.25" customHeight="1" x14ac:dyDescent="0.25">
      <c r="A2" s="47"/>
      <c r="B2" s="565" t="s">
        <v>171</v>
      </c>
      <c r="C2" s="566"/>
      <c r="D2" s="566"/>
      <c r="E2" s="566"/>
      <c r="F2" s="566"/>
      <c r="G2" s="566"/>
      <c r="H2" s="566"/>
      <c r="I2" s="566"/>
      <c r="J2" s="566"/>
      <c r="K2" s="566"/>
      <c r="L2" s="566"/>
      <c r="M2" s="566"/>
      <c r="N2" s="566"/>
      <c r="O2" s="566"/>
      <c r="P2" s="567"/>
    </row>
    <row r="3" spans="1:17" ht="12" thickBot="1" x14ac:dyDescent="0.3">
      <c r="A3" s="47"/>
      <c r="B3" s="568"/>
      <c r="C3" s="569"/>
      <c r="D3" s="569"/>
      <c r="E3" s="569"/>
      <c r="F3" s="569"/>
      <c r="G3" s="569"/>
      <c r="H3" s="569"/>
      <c r="I3" s="569"/>
      <c r="J3" s="569"/>
      <c r="K3" s="569"/>
      <c r="L3" s="569"/>
      <c r="M3" s="569"/>
      <c r="N3" s="569"/>
      <c r="O3" s="569"/>
      <c r="P3" s="570"/>
    </row>
    <row r="4" spans="1:17" ht="18.75" customHeight="1" thickBot="1" x14ac:dyDescent="0.3">
      <c r="A4" s="47"/>
      <c r="B4" s="571" t="s">
        <v>77</v>
      </c>
      <c r="C4" s="572"/>
      <c r="D4" s="572"/>
      <c r="E4" s="572"/>
      <c r="F4" s="572"/>
      <c r="G4" s="572"/>
      <c r="H4" s="572"/>
      <c r="I4" s="572"/>
      <c r="J4" s="572"/>
      <c r="K4" s="572"/>
      <c r="L4" s="572"/>
      <c r="M4" s="572"/>
      <c r="N4" s="572"/>
      <c r="O4" s="572"/>
      <c r="P4" s="573"/>
    </row>
    <row r="5" spans="1:17" ht="18.75" thickBot="1" x14ac:dyDescent="0.3">
      <c r="A5" s="47"/>
      <c r="B5" s="235"/>
      <c r="C5" s="236"/>
      <c r="D5" s="236"/>
      <c r="E5" s="236"/>
      <c r="F5" s="236"/>
      <c r="G5" s="577" t="s">
        <v>30</v>
      </c>
      <c r="H5" s="578"/>
      <c r="I5" s="579"/>
      <c r="J5" s="579"/>
      <c r="K5" s="580"/>
      <c r="L5" s="561" t="s">
        <v>31</v>
      </c>
      <c r="M5" s="562"/>
      <c r="N5" s="563"/>
      <c r="O5" s="563"/>
      <c r="P5" s="564"/>
    </row>
    <row r="6" spans="1:17" s="53" customFormat="1" ht="24.75" customHeight="1" thickBot="1" x14ac:dyDescent="0.3">
      <c r="A6" s="48"/>
      <c r="B6" s="557" t="s">
        <v>78</v>
      </c>
      <c r="C6" s="559" t="s">
        <v>79</v>
      </c>
      <c r="D6" s="204" t="s">
        <v>80</v>
      </c>
      <c r="E6" s="204" t="s">
        <v>81</v>
      </c>
      <c r="F6" s="362" t="s">
        <v>82</v>
      </c>
      <c r="G6" s="369" t="s">
        <v>83</v>
      </c>
      <c r="H6" s="489"/>
      <c r="I6" s="201" t="s">
        <v>84</v>
      </c>
      <c r="J6" s="202" t="s">
        <v>85</v>
      </c>
      <c r="K6" s="203" t="s">
        <v>86</v>
      </c>
      <c r="L6" s="382" t="s">
        <v>83</v>
      </c>
      <c r="M6" s="493"/>
      <c r="N6" s="206" t="s">
        <v>84</v>
      </c>
      <c r="O6" s="207" t="s">
        <v>85</v>
      </c>
      <c r="P6" s="208" t="s">
        <v>86</v>
      </c>
    </row>
    <row r="7" spans="1:17" s="53" customFormat="1" ht="39" thickBot="1" x14ac:dyDescent="0.3">
      <c r="A7" s="48"/>
      <c r="B7" s="558"/>
      <c r="C7" s="560"/>
      <c r="D7" s="205" t="s">
        <v>87</v>
      </c>
      <c r="E7" s="205" t="s">
        <v>35</v>
      </c>
      <c r="F7" s="363" t="s">
        <v>88</v>
      </c>
      <c r="G7" s="370" t="s">
        <v>89</v>
      </c>
      <c r="H7" s="55" t="s">
        <v>88</v>
      </c>
      <c r="I7" s="55" t="s">
        <v>90</v>
      </c>
      <c r="J7" s="56" t="s">
        <v>91</v>
      </c>
      <c r="K7" s="57" t="s">
        <v>92</v>
      </c>
      <c r="L7" s="383" t="s">
        <v>89</v>
      </c>
      <c r="M7" s="210" t="s">
        <v>88</v>
      </c>
      <c r="N7" s="210" t="s">
        <v>90</v>
      </c>
      <c r="O7" s="211" t="s">
        <v>91</v>
      </c>
      <c r="P7" s="212" t="s">
        <v>92</v>
      </c>
    </row>
    <row r="8" spans="1:17" s="65" customFormat="1" ht="12.75" x14ac:dyDescent="0.25">
      <c r="A8" s="58"/>
      <c r="B8" s="59">
        <v>1</v>
      </c>
      <c r="C8" s="60" t="s">
        <v>93</v>
      </c>
      <c r="D8" s="60"/>
      <c r="E8" s="60"/>
      <c r="F8" s="364"/>
      <c r="G8" s="371"/>
      <c r="H8" s="490"/>
      <c r="I8" s="62"/>
      <c r="J8" s="63"/>
      <c r="K8" s="64"/>
      <c r="L8" s="371"/>
      <c r="M8" s="490"/>
      <c r="N8" s="62"/>
      <c r="O8" s="63"/>
      <c r="P8" s="64"/>
    </row>
    <row r="9" spans="1:17" s="65" customFormat="1" ht="12.75" x14ac:dyDescent="0.25">
      <c r="A9" s="58"/>
      <c r="B9" s="66">
        <v>1.1000000000000001</v>
      </c>
      <c r="C9" s="67" t="s">
        <v>94</v>
      </c>
      <c r="D9" s="67"/>
      <c r="E9" s="67"/>
      <c r="F9" s="365"/>
      <c r="G9" s="372"/>
      <c r="H9" s="491"/>
      <c r="I9" s="70"/>
      <c r="J9" s="71"/>
      <c r="K9" s="72"/>
      <c r="L9" s="372"/>
      <c r="M9" s="491"/>
      <c r="N9" s="70"/>
      <c r="O9" s="71"/>
      <c r="P9" s="72"/>
    </row>
    <row r="10" spans="1:17" s="53" customFormat="1" ht="15" x14ac:dyDescent="0.25">
      <c r="A10" s="48"/>
      <c r="B10" s="73" t="s">
        <v>95</v>
      </c>
      <c r="C10" s="74" t="s">
        <v>96</v>
      </c>
      <c r="D10" s="75">
        <v>6800000</v>
      </c>
      <c r="E10" s="76">
        <v>1</v>
      </c>
      <c r="F10" s="486">
        <v>0.5</v>
      </c>
      <c r="G10" s="373">
        <v>1.89</v>
      </c>
      <c r="H10" s="496">
        <v>0.5</v>
      </c>
      <c r="I10" s="77">
        <f>ROUND(D10*E10*H10*G10,0)</f>
        <v>6426000</v>
      </c>
      <c r="J10" s="78">
        <v>4</v>
      </c>
      <c r="K10" s="79">
        <f>(I10*J10)</f>
        <v>25704000</v>
      </c>
      <c r="L10" s="373">
        <v>2.4</v>
      </c>
      <c r="M10" s="496">
        <v>1</v>
      </c>
      <c r="N10" s="488">
        <f>ROUND(D10*E10*M10*L10,0)</f>
        <v>16320000</v>
      </c>
      <c r="O10" s="78">
        <f>+J10</f>
        <v>4</v>
      </c>
      <c r="P10" s="219">
        <f>(N10*O10)</f>
        <v>65280000</v>
      </c>
      <c r="Q10"/>
    </row>
    <row r="11" spans="1:17" s="53" customFormat="1" ht="12.75" x14ac:dyDescent="0.25">
      <c r="A11" s="48"/>
      <c r="B11" s="73" t="s">
        <v>97</v>
      </c>
      <c r="C11" s="74" t="s">
        <v>98</v>
      </c>
      <c r="D11" s="75">
        <v>4800000</v>
      </c>
      <c r="E11" s="76">
        <v>1</v>
      </c>
      <c r="F11" s="366">
        <v>1</v>
      </c>
      <c r="G11" s="373">
        <f>+G10</f>
        <v>1.89</v>
      </c>
      <c r="H11" s="366">
        <v>1</v>
      </c>
      <c r="I11" s="77">
        <f t="shared" ref="I11:I14" si="0">ROUND(D11*E11*H11*G11,0)</f>
        <v>9072000</v>
      </c>
      <c r="J11" s="78">
        <v>3</v>
      </c>
      <c r="K11" s="79">
        <f>+(I11*J11)</f>
        <v>27216000</v>
      </c>
      <c r="L11" s="373">
        <f>+L10</f>
        <v>2.4</v>
      </c>
      <c r="M11" s="366">
        <v>1</v>
      </c>
      <c r="N11" s="488">
        <f t="shared" ref="N11:N14" si="1">ROUND(D11*E11*M11*L11,0)</f>
        <v>11520000</v>
      </c>
      <c r="O11" s="78">
        <f t="shared" ref="O11:O12" si="2">+J11</f>
        <v>3</v>
      </c>
      <c r="P11" s="219">
        <f t="shared" ref="P11:P14" si="3">(N11*O11)</f>
        <v>34560000</v>
      </c>
    </row>
    <row r="12" spans="1:17" s="53" customFormat="1" ht="12.75" x14ac:dyDescent="0.25">
      <c r="A12" s="48"/>
      <c r="B12" s="73" t="s">
        <v>99</v>
      </c>
      <c r="C12" s="74" t="s">
        <v>100</v>
      </c>
      <c r="D12" s="75">
        <v>4800000</v>
      </c>
      <c r="E12" s="76">
        <v>1</v>
      </c>
      <c r="F12" s="366">
        <v>1</v>
      </c>
      <c r="G12" s="373">
        <f>+G11</f>
        <v>1.89</v>
      </c>
      <c r="H12" s="366">
        <v>1</v>
      </c>
      <c r="I12" s="77">
        <f t="shared" si="0"/>
        <v>9072000</v>
      </c>
      <c r="J12" s="78">
        <v>3</v>
      </c>
      <c r="K12" s="79">
        <f>+(I12*J12)</f>
        <v>27216000</v>
      </c>
      <c r="L12" s="373">
        <f>+L11</f>
        <v>2.4</v>
      </c>
      <c r="M12" s="366">
        <v>1</v>
      </c>
      <c r="N12" s="488">
        <f t="shared" si="1"/>
        <v>11520000</v>
      </c>
      <c r="O12" s="78">
        <f t="shared" si="2"/>
        <v>3</v>
      </c>
      <c r="P12" s="219">
        <f t="shared" si="3"/>
        <v>34560000</v>
      </c>
    </row>
    <row r="13" spans="1:17" s="65" customFormat="1" ht="12.75" x14ac:dyDescent="0.25">
      <c r="A13" s="58"/>
      <c r="B13" s="66">
        <v>1.3</v>
      </c>
      <c r="C13" s="67" t="s">
        <v>101</v>
      </c>
      <c r="D13" s="76"/>
      <c r="E13" s="76"/>
      <c r="F13" s="366"/>
      <c r="G13" s="372"/>
      <c r="H13" s="366"/>
      <c r="I13" s="77"/>
      <c r="J13" s="78"/>
      <c r="K13" s="79"/>
      <c r="L13" s="372"/>
      <c r="M13" s="366"/>
      <c r="N13" s="488"/>
      <c r="O13" s="78"/>
      <c r="P13" s="79"/>
    </row>
    <row r="14" spans="1:17" s="53" customFormat="1" thickBot="1" x14ac:dyDescent="0.3">
      <c r="A14" s="48"/>
      <c r="B14" s="73" t="s">
        <v>102</v>
      </c>
      <c r="C14" s="80" t="s">
        <v>103</v>
      </c>
      <c r="D14" s="75">
        <v>1450000</v>
      </c>
      <c r="E14" s="76">
        <v>1</v>
      </c>
      <c r="F14" s="366">
        <v>1</v>
      </c>
      <c r="G14" s="373">
        <f>+G10</f>
        <v>1.89</v>
      </c>
      <c r="H14" s="366">
        <v>1</v>
      </c>
      <c r="I14" s="77">
        <f t="shared" si="0"/>
        <v>2740500</v>
      </c>
      <c r="J14" s="78">
        <v>4</v>
      </c>
      <c r="K14" s="79">
        <f>+(I14*J14)</f>
        <v>10962000</v>
      </c>
      <c r="L14" s="373">
        <f>+L10</f>
        <v>2.4</v>
      </c>
      <c r="M14" s="366">
        <v>1</v>
      </c>
      <c r="N14" s="488">
        <f t="shared" si="1"/>
        <v>3480000</v>
      </c>
      <c r="O14" s="78">
        <f>+J14</f>
        <v>4</v>
      </c>
      <c r="P14" s="219">
        <f t="shared" si="3"/>
        <v>13920000</v>
      </c>
    </row>
    <row r="15" spans="1:17" s="65" customFormat="1" ht="15.75" customHeight="1" thickBot="1" x14ac:dyDescent="0.25">
      <c r="A15" s="58"/>
      <c r="B15" s="81"/>
      <c r="C15" s="574" t="s">
        <v>104</v>
      </c>
      <c r="D15" s="575"/>
      <c r="E15" s="575"/>
      <c r="F15" s="576"/>
      <c r="G15" s="374"/>
      <c r="H15" s="347"/>
      <c r="I15" s="347"/>
      <c r="J15" s="348"/>
      <c r="K15" s="82">
        <f>SUM(K10:K14)</f>
        <v>91098000</v>
      </c>
      <c r="L15" s="222"/>
      <c r="M15" s="492"/>
      <c r="N15" s="91"/>
      <c r="O15" s="223"/>
      <c r="P15" s="82">
        <f>SUM(P10:P14)</f>
        <v>148320000</v>
      </c>
      <c r="Q15" s="84"/>
    </row>
    <row r="16" spans="1:17" s="53" customFormat="1" ht="15" customHeight="1" x14ac:dyDescent="0.2">
      <c r="A16" s="48"/>
      <c r="B16" s="359" t="s">
        <v>105</v>
      </c>
      <c r="C16" s="360"/>
      <c r="D16" s="360"/>
      <c r="E16" s="360"/>
      <c r="F16" s="360"/>
      <c r="G16" s="359"/>
      <c r="H16" s="360"/>
      <c r="I16" s="360"/>
      <c r="J16" s="360"/>
      <c r="K16" s="361"/>
      <c r="L16" s="384"/>
      <c r="M16" s="494"/>
      <c r="N16" s="220"/>
      <c r="O16" s="221"/>
      <c r="P16" s="385"/>
      <c r="Q16" s="84"/>
    </row>
    <row r="17" spans="1:17" s="65" customFormat="1" ht="12.75" x14ac:dyDescent="0.2">
      <c r="A17" s="58"/>
      <c r="B17" s="66" t="s">
        <v>106</v>
      </c>
      <c r="C17" s="67" t="s">
        <v>105</v>
      </c>
      <c r="D17" s="68" t="s">
        <v>51</v>
      </c>
      <c r="E17" s="67"/>
      <c r="F17" s="365" t="s">
        <v>35</v>
      </c>
      <c r="G17" s="375"/>
      <c r="H17" s="365" t="s">
        <v>35</v>
      </c>
      <c r="I17" s="70" t="s">
        <v>36</v>
      </c>
      <c r="J17" s="71"/>
      <c r="K17" s="85" t="s">
        <v>3</v>
      </c>
      <c r="L17" s="375"/>
      <c r="M17" s="365" t="s">
        <v>35</v>
      </c>
      <c r="N17" s="70" t="s">
        <v>36</v>
      </c>
      <c r="O17" s="71"/>
      <c r="P17" s="85" t="s">
        <v>3</v>
      </c>
      <c r="Q17" s="84"/>
    </row>
    <row r="18" spans="1:17" s="65" customFormat="1" ht="12.75" x14ac:dyDescent="0.2">
      <c r="A18" s="58"/>
      <c r="B18" s="73" t="s">
        <v>107</v>
      </c>
      <c r="C18" s="80" t="s">
        <v>108</v>
      </c>
      <c r="D18" s="76" t="s">
        <v>109</v>
      </c>
      <c r="E18" s="67"/>
      <c r="F18" s="367">
        <v>3</v>
      </c>
      <c r="G18" s="375"/>
      <c r="H18" s="367">
        <v>3</v>
      </c>
      <c r="I18" s="75">
        <v>950000</v>
      </c>
      <c r="J18" s="71"/>
      <c r="K18" s="86">
        <f>+(H18*I18)</f>
        <v>2850000</v>
      </c>
      <c r="L18" s="375"/>
      <c r="M18" s="367">
        <v>3</v>
      </c>
      <c r="N18" s="213">
        <v>950000</v>
      </c>
      <c r="O18" s="214"/>
      <c r="P18" s="215">
        <f>+(M18*N18)</f>
        <v>2850000</v>
      </c>
      <c r="Q18" s="84"/>
    </row>
    <row r="19" spans="1:17" s="65" customFormat="1" ht="12.75" x14ac:dyDescent="0.2">
      <c r="A19" s="58"/>
      <c r="B19" s="73" t="s">
        <v>110</v>
      </c>
      <c r="C19" s="80" t="s">
        <v>111</v>
      </c>
      <c r="D19" s="76" t="s">
        <v>109</v>
      </c>
      <c r="E19" s="67"/>
      <c r="F19" s="367">
        <v>3</v>
      </c>
      <c r="G19" s="375"/>
      <c r="H19" s="367">
        <v>3</v>
      </c>
      <c r="I19" s="87">
        <v>180000</v>
      </c>
      <c r="J19" s="71"/>
      <c r="K19" s="86">
        <f t="shared" ref="K19:K21" si="4">+(H19*I19)</f>
        <v>540000</v>
      </c>
      <c r="L19" s="375"/>
      <c r="M19" s="367">
        <v>3</v>
      </c>
      <c r="N19" s="216">
        <v>180000</v>
      </c>
      <c r="O19" s="214"/>
      <c r="P19" s="215">
        <f t="shared" ref="P19:P22" si="5">+(M19*N19)</f>
        <v>540000</v>
      </c>
      <c r="Q19" s="84"/>
    </row>
    <row r="20" spans="1:17" s="65" customFormat="1" ht="12.75" x14ac:dyDescent="0.2">
      <c r="A20" s="58"/>
      <c r="B20" s="73" t="s">
        <v>112</v>
      </c>
      <c r="C20" s="80" t="s">
        <v>113</v>
      </c>
      <c r="D20" s="76" t="s">
        <v>109</v>
      </c>
      <c r="E20" s="67"/>
      <c r="F20" s="367">
        <v>3</v>
      </c>
      <c r="G20" s="375"/>
      <c r="H20" s="367">
        <v>3</v>
      </c>
      <c r="I20" s="87">
        <v>180000</v>
      </c>
      <c r="J20" s="71"/>
      <c r="K20" s="86">
        <f t="shared" si="4"/>
        <v>540000</v>
      </c>
      <c r="L20" s="375"/>
      <c r="M20" s="367">
        <v>3</v>
      </c>
      <c r="N20" s="216">
        <v>180000</v>
      </c>
      <c r="O20" s="214"/>
      <c r="P20" s="215">
        <f t="shared" si="5"/>
        <v>540000</v>
      </c>
      <c r="Q20" s="84"/>
    </row>
    <row r="21" spans="1:17" s="65" customFormat="1" ht="12.75" x14ac:dyDescent="0.2">
      <c r="A21" s="58"/>
      <c r="B21" s="73" t="s">
        <v>114</v>
      </c>
      <c r="C21" s="80" t="s">
        <v>115</v>
      </c>
      <c r="D21" s="76" t="s">
        <v>109</v>
      </c>
      <c r="E21" s="67"/>
      <c r="F21" s="367">
        <v>3</v>
      </c>
      <c r="G21" s="375"/>
      <c r="H21" s="367">
        <v>3</v>
      </c>
      <c r="I21" s="87">
        <v>180000</v>
      </c>
      <c r="J21" s="71"/>
      <c r="K21" s="86">
        <f t="shared" si="4"/>
        <v>540000</v>
      </c>
      <c r="L21" s="375"/>
      <c r="M21" s="367">
        <v>3</v>
      </c>
      <c r="N21" s="216">
        <v>180000</v>
      </c>
      <c r="O21" s="214"/>
      <c r="P21" s="215">
        <f t="shared" si="5"/>
        <v>540000</v>
      </c>
      <c r="Q21" s="84"/>
    </row>
    <row r="22" spans="1:17" s="65" customFormat="1" thickBot="1" x14ac:dyDescent="0.3">
      <c r="A22" s="58"/>
      <c r="B22" s="73" t="s">
        <v>116</v>
      </c>
      <c r="C22" s="88" t="s">
        <v>117</v>
      </c>
      <c r="D22" s="89" t="s">
        <v>109</v>
      </c>
      <c r="E22" s="90"/>
      <c r="F22" s="368">
        <v>3</v>
      </c>
      <c r="G22" s="222"/>
      <c r="H22" s="368">
        <v>3</v>
      </c>
      <c r="I22" s="91">
        <v>2000000</v>
      </c>
      <c r="J22" s="92"/>
      <c r="K22" s="86">
        <f>+(H22*I22)</f>
        <v>6000000</v>
      </c>
      <c r="L22" s="222"/>
      <c r="M22" s="368">
        <v>3</v>
      </c>
      <c r="N22" s="217">
        <v>2000000</v>
      </c>
      <c r="O22" s="217"/>
      <c r="P22" s="215">
        <f t="shared" si="5"/>
        <v>6000000</v>
      </c>
    </row>
    <row r="23" spans="1:17" s="65" customFormat="1" ht="15.75" customHeight="1" thickBot="1" x14ac:dyDescent="0.3">
      <c r="A23" s="58"/>
      <c r="B23" s="93"/>
      <c r="C23" s="574" t="s">
        <v>118</v>
      </c>
      <c r="D23" s="575"/>
      <c r="E23" s="575"/>
      <c r="F23" s="576"/>
      <c r="G23" s="376"/>
      <c r="H23" s="349"/>
      <c r="I23" s="349"/>
      <c r="J23" s="350"/>
      <c r="K23" s="94">
        <f>SUM(K18:K22)</f>
        <v>10470000</v>
      </c>
      <c r="L23" s="224"/>
      <c r="M23" s="225"/>
      <c r="N23" s="225"/>
      <c r="O23" s="226"/>
      <c r="P23" s="94">
        <f>SUM(P18:P22)</f>
        <v>10470000</v>
      </c>
    </row>
    <row r="24" spans="1:17" s="53" customFormat="1" ht="15" customHeight="1" x14ac:dyDescent="0.25">
      <c r="A24" s="48"/>
      <c r="B24" s="351" t="s">
        <v>119</v>
      </c>
      <c r="C24" s="352"/>
      <c r="D24" s="352"/>
      <c r="E24" s="352"/>
      <c r="F24" s="352"/>
      <c r="G24" s="351"/>
      <c r="H24" s="352"/>
      <c r="I24" s="352"/>
      <c r="J24" s="352"/>
      <c r="K24" s="353"/>
      <c r="L24" s="227"/>
      <c r="M24" s="228"/>
      <c r="N24" s="228"/>
      <c r="O24" s="228"/>
      <c r="P24" s="386"/>
    </row>
    <row r="25" spans="1:17" s="53" customFormat="1" ht="15" customHeight="1" x14ac:dyDescent="0.25">
      <c r="A25" s="48"/>
      <c r="B25" s="73"/>
      <c r="C25" s="354" t="s">
        <v>120</v>
      </c>
      <c r="D25" s="355"/>
      <c r="E25" s="355"/>
      <c r="F25" s="355"/>
      <c r="G25" s="377"/>
      <c r="H25" s="355"/>
      <c r="I25" s="355"/>
      <c r="J25" s="356"/>
      <c r="K25" s="86">
        <f>+K23+K15</f>
        <v>101568000</v>
      </c>
      <c r="L25" s="227"/>
      <c r="M25" s="228"/>
      <c r="N25" s="228"/>
      <c r="O25" s="228"/>
      <c r="P25" s="86">
        <f>+P23+P15</f>
        <v>158790000</v>
      </c>
    </row>
    <row r="26" spans="1:17" s="53" customFormat="1" ht="15" customHeight="1" x14ac:dyDescent="0.25">
      <c r="A26" s="48"/>
      <c r="B26" s="73"/>
      <c r="C26" s="354" t="s">
        <v>121</v>
      </c>
      <c r="D26" s="355"/>
      <c r="E26" s="355"/>
      <c r="F26" s="355"/>
      <c r="G26" s="377"/>
      <c r="H26" s="355"/>
      <c r="I26" s="355"/>
      <c r="J26" s="356"/>
      <c r="K26" s="86">
        <f>+K25*19%</f>
        <v>19297920</v>
      </c>
      <c r="L26" s="227"/>
      <c r="M26" s="228"/>
      <c r="N26" s="228"/>
      <c r="O26" s="228"/>
      <c r="P26" s="86">
        <f>+P25*19%</f>
        <v>30170100</v>
      </c>
    </row>
    <row r="27" spans="1:17" s="53" customFormat="1" ht="15" customHeight="1" thickBot="1" x14ac:dyDescent="0.3">
      <c r="A27" s="48"/>
      <c r="B27" s="97"/>
      <c r="C27" s="357" t="s">
        <v>122</v>
      </c>
      <c r="D27" s="358"/>
      <c r="E27" s="358"/>
      <c r="F27" s="358"/>
      <c r="G27" s="378"/>
      <c r="H27" s="379"/>
      <c r="I27" s="379"/>
      <c r="J27" s="380"/>
      <c r="K27" s="381">
        <f>+K26+K25</f>
        <v>120865920</v>
      </c>
      <c r="L27" s="229"/>
      <c r="M27" s="230"/>
      <c r="N27" s="230"/>
      <c r="O27" s="230"/>
      <c r="P27" s="237">
        <f>+P26+P25</f>
        <v>188960100</v>
      </c>
    </row>
    <row r="28" spans="1:17" s="53" customFormat="1" ht="15.75" customHeight="1" thickTop="1" thickBot="1" x14ac:dyDescent="0.25">
      <c r="A28" s="48"/>
      <c r="B28" s="553"/>
      <c r="C28" s="554"/>
      <c r="D28" s="554"/>
      <c r="E28" s="554"/>
      <c r="F28" s="554"/>
      <c r="G28" s="555"/>
      <c r="H28" s="555"/>
      <c r="I28" s="555"/>
      <c r="J28" s="555"/>
      <c r="K28" s="556"/>
      <c r="L28" s="231"/>
      <c r="M28" s="495"/>
      <c r="N28" s="232"/>
      <c r="O28" s="233"/>
      <c r="P28" s="234"/>
      <c r="Q28" s="98"/>
    </row>
    <row r="29" spans="1:17" s="48" customFormat="1" ht="12.75" x14ac:dyDescent="0.25">
      <c r="B29" s="99"/>
      <c r="C29" s="100"/>
      <c r="I29" s="101"/>
      <c r="J29" s="102"/>
      <c r="K29" s="95"/>
      <c r="P29" s="103"/>
    </row>
    <row r="30" spans="1:17" s="48" customFormat="1" ht="12.75" x14ac:dyDescent="0.25">
      <c r="J30" s="102"/>
      <c r="K30" s="95"/>
    </row>
    <row r="31" spans="1:17" s="110" customFormat="1" ht="12.75" x14ac:dyDescent="0.25">
      <c r="A31" s="104"/>
      <c r="B31" s="105"/>
      <c r="C31" s="106"/>
      <c r="D31" s="47"/>
      <c r="E31" s="47"/>
      <c r="F31" s="47"/>
      <c r="G31" s="47"/>
      <c r="H31" s="47"/>
      <c r="I31" s="107"/>
      <c r="J31" s="108"/>
      <c r="K31" s="109"/>
      <c r="L31" s="47"/>
      <c r="M31" s="47"/>
      <c r="N31" s="104"/>
    </row>
    <row r="32" spans="1:17" s="110" customFormat="1" ht="12.75" x14ac:dyDescent="0.25">
      <c r="A32" s="104"/>
      <c r="B32" s="105"/>
      <c r="C32" s="106"/>
      <c r="D32" s="47"/>
      <c r="E32" s="47"/>
      <c r="F32" s="104"/>
      <c r="G32" s="104"/>
      <c r="H32" s="104"/>
      <c r="I32" s="104"/>
      <c r="J32" s="104"/>
      <c r="K32" s="104"/>
      <c r="L32" s="104"/>
      <c r="M32" s="104"/>
      <c r="N32" s="104"/>
    </row>
    <row r="33" spans="1:21" s="110" customFormat="1" ht="15" x14ac:dyDescent="0.25">
      <c r="A33" s="104"/>
      <c r="B33" s="105"/>
      <c r="C33" s="111"/>
      <c r="D33" s="47"/>
      <c r="E33" s="47"/>
      <c r="F33" s="104"/>
      <c r="G33" s="104"/>
      <c r="H33" s="104"/>
      <c r="I33" s="104"/>
      <c r="J33" s="19"/>
      <c r="K33" s="104"/>
      <c r="L33" s="104"/>
      <c r="M33" s="104"/>
      <c r="N33" s="104"/>
    </row>
    <row r="34" spans="1:21" s="110" customFormat="1" ht="15.75" x14ac:dyDescent="0.25">
      <c r="A34" s="104"/>
      <c r="B34" s="105"/>
      <c r="C34" s="112"/>
      <c r="D34" s="112"/>
      <c r="E34" s="113"/>
      <c r="F34" s="104"/>
      <c r="G34" s="104"/>
      <c r="H34" s="104"/>
      <c r="I34" s="104"/>
      <c r="J34" s="104"/>
      <c r="K34" s="104"/>
      <c r="L34" s="104"/>
      <c r="M34" s="104"/>
      <c r="N34" s="104"/>
    </row>
    <row r="35" spans="1:21" s="110" customFormat="1" ht="17.25" x14ac:dyDescent="0.25">
      <c r="A35" s="104"/>
      <c r="B35" s="114"/>
      <c r="C35" s="115"/>
      <c r="D35" s="116"/>
      <c r="E35" s="117"/>
      <c r="F35" s="104"/>
      <c r="G35" s="104"/>
      <c r="H35" s="104"/>
      <c r="I35" s="104"/>
      <c r="J35" s="104"/>
      <c r="K35" s="104"/>
      <c r="L35" s="104"/>
      <c r="M35" s="104"/>
      <c r="N35" s="104"/>
    </row>
    <row r="36" spans="1:21" s="110" customFormat="1" ht="14.25" x14ac:dyDescent="0.3">
      <c r="A36" s="104"/>
      <c r="B36" s="114"/>
      <c r="C36" s="118"/>
      <c r="D36" s="119"/>
      <c r="E36" s="117"/>
      <c r="F36" s="104"/>
      <c r="G36" s="104"/>
      <c r="H36" s="104"/>
      <c r="I36" s="104"/>
      <c r="J36" s="104"/>
      <c r="K36" s="104"/>
      <c r="L36" s="104"/>
      <c r="M36" s="104"/>
      <c r="N36" s="104"/>
    </row>
    <row r="37" spans="1:21" s="110" customFormat="1" x14ac:dyDescent="0.2">
      <c r="A37" s="104"/>
      <c r="B37" s="114"/>
      <c r="C37" s="120"/>
      <c r="D37" s="121"/>
      <c r="E37" s="121"/>
      <c r="F37" s="104"/>
      <c r="G37" s="104"/>
      <c r="H37" s="104"/>
      <c r="I37" s="104"/>
      <c r="J37" s="104"/>
      <c r="K37" s="104"/>
      <c r="L37" s="104"/>
      <c r="M37" s="104"/>
      <c r="N37" s="104"/>
    </row>
    <row r="38" spans="1:21" x14ac:dyDescent="0.2">
      <c r="A38" s="47"/>
      <c r="B38" s="114"/>
      <c r="C38" s="120"/>
      <c r="D38" s="121"/>
      <c r="E38" s="121"/>
      <c r="F38" s="121"/>
      <c r="G38" s="121"/>
      <c r="H38" s="121"/>
      <c r="I38" s="122"/>
      <c r="J38" s="123"/>
      <c r="K38" s="124"/>
      <c r="L38" s="47"/>
      <c r="M38" s="47"/>
      <c r="N38" s="47"/>
    </row>
    <row r="39" spans="1:21" x14ac:dyDescent="0.25">
      <c r="A39" s="47"/>
      <c r="B39" s="114"/>
      <c r="C39" s="121"/>
      <c r="D39" s="121"/>
      <c r="E39" s="121"/>
      <c r="F39" s="121"/>
      <c r="G39" s="121"/>
      <c r="H39" s="121"/>
      <c r="I39" s="122"/>
      <c r="J39" s="123"/>
      <c r="K39" s="124"/>
      <c r="L39" s="47"/>
      <c r="M39" s="47"/>
      <c r="N39" s="47"/>
    </row>
    <row r="40" spans="1:21" x14ac:dyDescent="0.25">
      <c r="A40" s="104"/>
      <c r="B40" s="114"/>
      <c r="C40" s="121"/>
      <c r="D40" s="121"/>
      <c r="E40" s="121"/>
      <c r="F40" s="121"/>
      <c r="G40" s="121"/>
      <c r="H40" s="121"/>
      <c r="I40" s="122"/>
      <c r="J40" s="123"/>
      <c r="K40" s="124"/>
      <c r="L40" s="47"/>
      <c r="M40" s="47"/>
      <c r="N40" s="47"/>
    </row>
    <row r="41" spans="1:21" x14ac:dyDescent="0.25">
      <c r="A41" s="104"/>
      <c r="B41" s="114"/>
      <c r="C41" s="121"/>
      <c r="D41" s="121"/>
      <c r="E41" s="121"/>
      <c r="F41" s="121"/>
      <c r="I41" s="125"/>
    </row>
    <row r="42" spans="1:21" x14ac:dyDescent="0.25">
      <c r="A42" s="104"/>
      <c r="B42" s="114"/>
      <c r="C42" s="121"/>
      <c r="D42" s="121"/>
      <c r="E42" s="121"/>
      <c r="F42" s="121"/>
      <c r="I42" s="125"/>
    </row>
    <row r="43" spans="1:21" x14ac:dyDescent="0.25">
      <c r="A43" s="104"/>
      <c r="B43" s="114"/>
      <c r="C43" s="121"/>
      <c r="D43" s="126"/>
      <c r="E43" s="126"/>
      <c r="F43" s="126"/>
      <c r="G43" s="126"/>
      <c r="H43" s="126"/>
      <c r="I43" s="125"/>
    </row>
    <row r="44" spans="1:21" ht="16.5" x14ac:dyDescent="0.2">
      <c r="A44" s="104"/>
      <c r="B44" s="114"/>
      <c r="C44" s="121"/>
      <c r="D44" s="40"/>
      <c r="E44" s="40"/>
      <c r="F44" s="23"/>
      <c r="G44" s="23"/>
      <c r="H44" s="23"/>
      <c r="I44" s="125"/>
    </row>
    <row r="45" spans="1:21" ht="16.5" x14ac:dyDescent="0.25">
      <c r="A45" s="104"/>
      <c r="D45" s="23"/>
      <c r="E45" s="23"/>
      <c r="F45" s="23"/>
      <c r="G45" s="23"/>
      <c r="H45" s="23"/>
      <c r="I45" s="125"/>
      <c r="S45" s="127"/>
    </row>
    <row r="46" spans="1:21" ht="16.5" x14ac:dyDescent="0.25">
      <c r="A46" s="104"/>
      <c r="D46" s="128"/>
      <c r="E46" s="128"/>
      <c r="F46" s="128"/>
      <c r="G46" s="128"/>
      <c r="H46" s="470"/>
      <c r="I46" s="125"/>
    </row>
    <row r="47" spans="1:21" ht="16.5" x14ac:dyDescent="0.25">
      <c r="A47" s="47"/>
      <c r="D47" s="503" t="s">
        <v>28</v>
      </c>
      <c r="E47" s="503"/>
      <c r="F47" s="503"/>
      <c r="G47" s="503"/>
      <c r="H47" s="480"/>
      <c r="I47" s="125"/>
      <c r="S47" s="127"/>
      <c r="T47" s="127"/>
      <c r="U47" s="127"/>
    </row>
    <row r="48" spans="1:21" ht="16.5" x14ac:dyDescent="0.25">
      <c r="A48" s="47"/>
      <c r="D48" s="503" t="s">
        <v>27</v>
      </c>
      <c r="E48" s="503"/>
      <c r="F48" s="503"/>
      <c r="G48" s="503"/>
      <c r="H48" s="480"/>
      <c r="I48" s="125"/>
      <c r="S48" s="129"/>
      <c r="T48" s="127"/>
      <c r="U48" s="127"/>
    </row>
    <row r="49" spans="1:21" x14ac:dyDescent="0.25">
      <c r="A49" s="47"/>
      <c r="S49" s="127"/>
      <c r="T49" s="127"/>
      <c r="U49" s="127"/>
    </row>
    <row r="50" spans="1:21" x14ac:dyDescent="0.25">
      <c r="S50" s="127"/>
      <c r="T50" s="127"/>
      <c r="U50" s="127"/>
    </row>
    <row r="51" spans="1:21" x14ac:dyDescent="0.25">
      <c r="S51" s="127"/>
      <c r="T51" s="127"/>
      <c r="U51" s="127"/>
    </row>
    <row r="52" spans="1:21" x14ac:dyDescent="0.25">
      <c r="S52" s="127"/>
      <c r="T52" s="127"/>
      <c r="U52" s="127"/>
    </row>
    <row r="53" spans="1:21" x14ac:dyDescent="0.25">
      <c r="S53" s="127"/>
      <c r="T53" s="127"/>
      <c r="U53" s="127"/>
    </row>
    <row r="54" spans="1:21" x14ac:dyDescent="0.25">
      <c r="S54" s="127"/>
      <c r="T54" s="127"/>
      <c r="U54" s="127"/>
    </row>
    <row r="55" spans="1:21" x14ac:dyDescent="0.25">
      <c r="S55" s="127"/>
      <c r="T55" s="127"/>
      <c r="U55" s="127"/>
    </row>
  </sheetData>
  <mergeCells count="11">
    <mergeCell ref="L5:P5"/>
    <mergeCell ref="B2:P3"/>
    <mergeCell ref="B4:P4"/>
    <mergeCell ref="C23:F23"/>
    <mergeCell ref="C15:F15"/>
    <mergeCell ref="G5:K5"/>
    <mergeCell ref="D47:G47"/>
    <mergeCell ref="D48:G48"/>
    <mergeCell ref="B28:K28"/>
    <mergeCell ref="B6:B7"/>
    <mergeCell ref="C6:C7"/>
  </mergeCells>
  <pageMargins left="0.7" right="0.7" top="0.75" bottom="0.75" header="0.3" footer="0.3"/>
  <pageSetup paperSize="9" scale="51" orientation="portrait" r:id="rId1"/>
  <headerFooter>
    <oddHeader>&amp;CBPIN 20220214000041 REPOSICIÓN DE CUBIERTA EN LA INSTITUCIÓN EDUCATIVA AGRICOLA DE ARGELIA SEDE PRINCIPAL, NIÑAS, GABRIEL GARCIA MÁRQUEZ, CENTRO DE JÓVENES E INSTITUCIÓN EDUCATIVA BOTAFOGO MUNICIPIO DE  ARGELIA, CAUCA</oddHeader>
    <oddFooter>&amp;CDirección: Calle 26N # 7c-45; Celular: 3012730678 - 3217177544 
email: dazarquitectura.19@gmail.com; procesosylicitaciones@hotmail.com</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39E9C-7AF5-4CB4-A2D1-38F969C93EC7}">
  <dimension ref="A1:Y52"/>
  <sheetViews>
    <sheetView topLeftCell="C10" zoomScaleNormal="100" zoomScaleSheetLayoutView="100" zoomScalePageLayoutView="40" workbookViewId="0">
      <selection activeCell="N11" sqref="N11"/>
    </sheetView>
  </sheetViews>
  <sheetFormatPr baseColWidth="10" defaultColWidth="11.42578125" defaultRowHeight="13.5" x14ac:dyDescent="0.25"/>
  <cols>
    <col min="1" max="1" width="1.7109375" style="41" customWidth="1"/>
    <col min="2" max="2" width="5.42578125" style="42" customWidth="1"/>
    <col min="3" max="3" width="28.42578125" style="43" customWidth="1"/>
    <col min="4" max="4" width="13.140625" style="43" bestFit="1" customWidth="1"/>
    <col min="5" max="5" width="6" style="43" bestFit="1" customWidth="1"/>
    <col min="6" max="6" width="13.5703125" style="43" customWidth="1"/>
    <col min="7" max="7" width="5.7109375" style="43" bestFit="1" customWidth="1"/>
    <col min="8" max="8" width="12.85546875" style="44" customWidth="1"/>
    <col min="9" max="9" width="10.5703125" style="45" bestFit="1" customWidth="1"/>
    <col min="10" max="10" width="15.28515625" style="46" bestFit="1" customWidth="1"/>
    <col min="11" max="11" width="13.140625" style="46" bestFit="1" customWidth="1"/>
    <col min="12" max="12" width="6" style="46" bestFit="1" customWidth="1"/>
    <col min="13" max="13" width="12.42578125" style="46" bestFit="1" customWidth="1"/>
    <col min="14" max="14" width="5.7109375" style="46" bestFit="1" customWidth="1"/>
    <col min="15" max="15" width="16.140625" style="46" customWidth="1"/>
    <col min="16" max="16" width="10.5703125" style="46" bestFit="1" customWidth="1"/>
    <col min="17" max="17" width="15.28515625" style="41" bestFit="1" customWidth="1"/>
    <col min="18" max="18" width="14.42578125" style="41" hidden="1" customWidth="1"/>
    <col min="19" max="19" width="11.42578125" style="41"/>
    <col min="20" max="20" width="11.140625" style="41" bestFit="1" customWidth="1"/>
    <col min="21" max="22" width="11.42578125" style="41"/>
    <col min="23" max="23" width="18.42578125" style="41" bestFit="1" customWidth="1"/>
    <col min="24" max="257" width="11.42578125" style="41"/>
    <col min="258" max="258" width="5.42578125" style="41" customWidth="1"/>
    <col min="259" max="259" width="37" style="41" bestFit="1" customWidth="1"/>
    <col min="260" max="260" width="17.42578125" style="41" customWidth="1"/>
    <col min="261" max="261" width="11.42578125" style="41" bestFit="1" customWidth="1"/>
    <col min="262" max="262" width="12.85546875" style="41" bestFit="1" customWidth="1"/>
    <col min="263" max="263" width="7.5703125" style="41" bestFit="1" customWidth="1"/>
    <col min="264" max="264" width="16.42578125" style="41" bestFit="1" customWidth="1"/>
    <col min="265" max="265" width="13.42578125" style="41" bestFit="1" customWidth="1"/>
    <col min="266" max="266" width="16.42578125" style="41" bestFit="1" customWidth="1"/>
    <col min="267" max="267" width="11.42578125" style="41"/>
    <col min="268" max="268" width="18.42578125" style="41" bestFit="1" customWidth="1"/>
    <col min="269" max="269" width="11.42578125" style="41"/>
    <col min="270" max="270" width="14.42578125" style="41" bestFit="1" customWidth="1"/>
    <col min="271" max="278" width="11.42578125" style="41"/>
    <col min="279" max="279" width="18.42578125" style="41" bestFit="1" customWidth="1"/>
    <col min="280" max="513" width="11.42578125" style="41"/>
    <col min="514" max="514" width="5.42578125" style="41" customWidth="1"/>
    <col min="515" max="515" width="37" style="41" bestFit="1" customWidth="1"/>
    <col min="516" max="516" width="17.42578125" style="41" customWidth="1"/>
    <col min="517" max="517" width="11.42578125" style="41" bestFit="1" customWidth="1"/>
    <col min="518" max="518" width="12.85546875" style="41" bestFit="1" customWidth="1"/>
    <col min="519" max="519" width="7.5703125" style="41" bestFit="1" customWidth="1"/>
    <col min="520" max="520" width="16.42578125" style="41" bestFit="1" customWidth="1"/>
    <col min="521" max="521" width="13.42578125" style="41" bestFit="1" customWidth="1"/>
    <col min="522" max="522" width="16.42578125" style="41" bestFit="1" customWidth="1"/>
    <col min="523" max="523" width="11.42578125" style="41"/>
    <col min="524" max="524" width="18.42578125" style="41" bestFit="1" customWidth="1"/>
    <col min="525" max="525" width="11.42578125" style="41"/>
    <col min="526" max="526" width="14.42578125" style="41" bestFit="1" customWidth="1"/>
    <col min="527" max="534" width="11.42578125" style="41"/>
    <col min="535" max="535" width="18.42578125" style="41" bestFit="1" customWidth="1"/>
    <col min="536" max="769" width="11.42578125" style="41"/>
    <col min="770" max="770" width="5.42578125" style="41" customWidth="1"/>
    <col min="771" max="771" width="37" style="41" bestFit="1" customWidth="1"/>
    <col min="772" max="772" width="17.42578125" style="41" customWidth="1"/>
    <col min="773" max="773" width="11.42578125" style="41" bestFit="1" customWidth="1"/>
    <col min="774" max="774" width="12.85546875" style="41" bestFit="1" customWidth="1"/>
    <col min="775" max="775" width="7.5703125" style="41" bestFit="1" customWidth="1"/>
    <col min="776" max="776" width="16.42578125" style="41" bestFit="1" customWidth="1"/>
    <col min="777" max="777" width="13.42578125" style="41" bestFit="1" customWidth="1"/>
    <col min="778" max="778" width="16.42578125" style="41" bestFit="1" customWidth="1"/>
    <col min="779" max="779" width="11.42578125" style="41"/>
    <col min="780" max="780" width="18.42578125" style="41" bestFit="1" customWidth="1"/>
    <col min="781" max="781" width="11.42578125" style="41"/>
    <col min="782" max="782" width="14.42578125" style="41" bestFit="1" customWidth="1"/>
    <col min="783" max="790" width="11.42578125" style="41"/>
    <col min="791" max="791" width="18.42578125" style="41" bestFit="1" customWidth="1"/>
    <col min="792" max="1025" width="11.42578125" style="41"/>
    <col min="1026" max="1026" width="5.42578125" style="41" customWidth="1"/>
    <col min="1027" max="1027" width="37" style="41" bestFit="1" customWidth="1"/>
    <col min="1028" max="1028" width="17.42578125" style="41" customWidth="1"/>
    <col min="1029" max="1029" width="11.42578125" style="41" bestFit="1" customWidth="1"/>
    <col min="1030" max="1030" width="12.85546875" style="41" bestFit="1" customWidth="1"/>
    <col min="1031" max="1031" width="7.5703125" style="41" bestFit="1" customWidth="1"/>
    <col min="1032" max="1032" width="16.42578125" style="41" bestFit="1" customWidth="1"/>
    <col min="1033" max="1033" width="13.42578125" style="41" bestFit="1" customWidth="1"/>
    <col min="1034" max="1034" width="16.42578125" style="41" bestFit="1" customWidth="1"/>
    <col min="1035" max="1035" width="11.42578125" style="41"/>
    <col min="1036" max="1036" width="18.42578125" style="41" bestFit="1" customWidth="1"/>
    <col min="1037" max="1037" width="11.42578125" style="41"/>
    <col min="1038" max="1038" width="14.42578125" style="41" bestFit="1" customWidth="1"/>
    <col min="1039" max="1046" width="11.42578125" style="41"/>
    <col min="1047" max="1047" width="18.42578125" style="41" bestFit="1" customWidth="1"/>
    <col min="1048" max="1281" width="11.42578125" style="41"/>
    <col min="1282" max="1282" width="5.42578125" style="41" customWidth="1"/>
    <col min="1283" max="1283" width="37" style="41" bestFit="1" customWidth="1"/>
    <col min="1284" max="1284" width="17.42578125" style="41" customWidth="1"/>
    <col min="1285" max="1285" width="11.42578125" style="41" bestFit="1" customWidth="1"/>
    <col min="1286" max="1286" width="12.85546875" style="41" bestFit="1" customWidth="1"/>
    <col min="1287" max="1287" width="7.5703125" style="41" bestFit="1" customWidth="1"/>
    <col min="1288" max="1288" width="16.42578125" style="41" bestFit="1" customWidth="1"/>
    <col min="1289" max="1289" width="13.42578125" style="41" bestFit="1" customWidth="1"/>
    <col min="1290" max="1290" width="16.42578125" style="41" bestFit="1" customWidth="1"/>
    <col min="1291" max="1291" width="11.42578125" style="41"/>
    <col min="1292" max="1292" width="18.42578125" style="41" bestFit="1" customWidth="1"/>
    <col min="1293" max="1293" width="11.42578125" style="41"/>
    <col min="1294" max="1294" width="14.42578125" style="41" bestFit="1" customWidth="1"/>
    <col min="1295" max="1302" width="11.42578125" style="41"/>
    <col min="1303" max="1303" width="18.42578125" style="41" bestFit="1" customWidth="1"/>
    <col min="1304" max="1537" width="11.42578125" style="41"/>
    <col min="1538" max="1538" width="5.42578125" style="41" customWidth="1"/>
    <col min="1539" max="1539" width="37" style="41" bestFit="1" customWidth="1"/>
    <col min="1540" max="1540" width="17.42578125" style="41" customWidth="1"/>
    <col min="1541" max="1541" width="11.42578125" style="41" bestFit="1" customWidth="1"/>
    <col min="1542" max="1542" width="12.85546875" style="41" bestFit="1" customWidth="1"/>
    <col min="1543" max="1543" width="7.5703125" style="41" bestFit="1" customWidth="1"/>
    <col min="1544" max="1544" width="16.42578125" style="41" bestFit="1" customWidth="1"/>
    <col min="1545" max="1545" width="13.42578125" style="41" bestFit="1" customWidth="1"/>
    <col min="1546" max="1546" width="16.42578125" style="41" bestFit="1" customWidth="1"/>
    <col min="1547" max="1547" width="11.42578125" style="41"/>
    <col min="1548" max="1548" width="18.42578125" style="41" bestFit="1" customWidth="1"/>
    <col min="1549" max="1549" width="11.42578125" style="41"/>
    <col min="1550" max="1550" width="14.42578125" style="41" bestFit="1" customWidth="1"/>
    <col min="1551" max="1558" width="11.42578125" style="41"/>
    <col min="1559" max="1559" width="18.42578125" style="41" bestFit="1" customWidth="1"/>
    <col min="1560" max="1793" width="11.42578125" style="41"/>
    <col min="1794" max="1794" width="5.42578125" style="41" customWidth="1"/>
    <col min="1795" max="1795" width="37" style="41" bestFit="1" customWidth="1"/>
    <col min="1796" max="1796" width="17.42578125" style="41" customWidth="1"/>
    <col min="1797" max="1797" width="11.42578125" style="41" bestFit="1" customWidth="1"/>
    <col min="1798" max="1798" width="12.85546875" style="41" bestFit="1" customWidth="1"/>
    <col min="1799" max="1799" width="7.5703125" style="41" bestFit="1" customWidth="1"/>
    <col min="1800" max="1800" width="16.42578125" style="41" bestFit="1" customWidth="1"/>
    <col min="1801" max="1801" width="13.42578125" style="41" bestFit="1" customWidth="1"/>
    <col min="1802" max="1802" width="16.42578125" style="41" bestFit="1" customWidth="1"/>
    <col min="1803" max="1803" width="11.42578125" style="41"/>
    <col min="1804" max="1804" width="18.42578125" style="41" bestFit="1" customWidth="1"/>
    <col min="1805" max="1805" width="11.42578125" style="41"/>
    <col min="1806" max="1806" width="14.42578125" style="41" bestFit="1" customWidth="1"/>
    <col min="1807" max="1814" width="11.42578125" style="41"/>
    <col min="1815" max="1815" width="18.42578125" style="41" bestFit="1" customWidth="1"/>
    <col min="1816" max="2049" width="11.42578125" style="41"/>
    <col min="2050" max="2050" width="5.42578125" style="41" customWidth="1"/>
    <col min="2051" max="2051" width="37" style="41" bestFit="1" customWidth="1"/>
    <col min="2052" max="2052" width="17.42578125" style="41" customWidth="1"/>
    <col min="2053" max="2053" width="11.42578125" style="41" bestFit="1" customWidth="1"/>
    <col min="2054" max="2054" width="12.85546875" style="41" bestFit="1" customWidth="1"/>
    <col min="2055" max="2055" width="7.5703125" style="41" bestFit="1" customWidth="1"/>
    <col min="2056" max="2056" width="16.42578125" style="41" bestFit="1" customWidth="1"/>
    <col min="2057" max="2057" width="13.42578125" style="41" bestFit="1" customWidth="1"/>
    <col min="2058" max="2058" width="16.42578125" style="41" bestFit="1" customWidth="1"/>
    <col min="2059" max="2059" width="11.42578125" style="41"/>
    <col min="2060" max="2060" width="18.42578125" style="41" bestFit="1" customWidth="1"/>
    <col min="2061" max="2061" width="11.42578125" style="41"/>
    <col min="2062" max="2062" width="14.42578125" style="41" bestFit="1" customWidth="1"/>
    <col min="2063" max="2070" width="11.42578125" style="41"/>
    <col min="2071" max="2071" width="18.42578125" style="41" bestFit="1" customWidth="1"/>
    <col min="2072" max="2305" width="11.42578125" style="41"/>
    <col min="2306" max="2306" width="5.42578125" style="41" customWidth="1"/>
    <col min="2307" max="2307" width="37" style="41" bestFit="1" customWidth="1"/>
    <col min="2308" max="2308" width="17.42578125" style="41" customWidth="1"/>
    <col min="2309" max="2309" width="11.42578125" style="41" bestFit="1" customWidth="1"/>
    <col min="2310" max="2310" width="12.85546875" style="41" bestFit="1" customWidth="1"/>
    <col min="2311" max="2311" width="7.5703125" style="41" bestFit="1" customWidth="1"/>
    <col min="2312" max="2312" width="16.42578125" style="41" bestFit="1" customWidth="1"/>
    <col min="2313" max="2313" width="13.42578125" style="41" bestFit="1" customWidth="1"/>
    <col min="2314" max="2314" width="16.42578125" style="41" bestFit="1" customWidth="1"/>
    <col min="2315" max="2315" width="11.42578125" style="41"/>
    <col min="2316" max="2316" width="18.42578125" style="41" bestFit="1" customWidth="1"/>
    <col min="2317" max="2317" width="11.42578125" style="41"/>
    <col min="2318" max="2318" width="14.42578125" style="41" bestFit="1" customWidth="1"/>
    <col min="2319" max="2326" width="11.42578125" style="41"/>
    <col min="2327" max="2327" width="18.42578125" style="41" bestFit="1" customWidth="1"/>
    <col min="2328" max="2561" width="11.42578125" style="41"/>
    <col min="2562" max="2562" width="5.42578125" style="41" customWidth="1"/>
    <col min="2563" max="2563" width="37" style="41" bestFit="1" customWidth="1"/>
    <col min="2564" max="2564" width="17.42578125" style="41" customWidth="1"/>
    <col min="2565" max="2565" width="11.42578125" style="41" bestFit="1" customWidth="1"/>
    <col min="2566" max="2566" width="12.85546875" style="41" bestFit="1" customWidth="1"/>
    <col min="2567" max="2567" width="7.5703125" style="41" bestFit="1" customWidth="1"/>
    <col min="2568" max="2568" width="16.42578125" style="41" bestFit="1" customWidth="1"/>
    <col min="2569" max="2569" width="13.42578125" style="41" bestFit="1" customWidth="1"/>
    <col min="2570" max="2570" width="16.42578125" style="41" bestFit="1" customWidth="1"/>
    <col min="2571" max="2571" width="11.42578125" style="41"/>
    <col min="2572" max="2572" width="18.42578125" style="41" bestFit="1" customWidth="1"/>
    <col min="2573" max="2573" width="11.42578125" style="41"/>
    <col min="2574" max="2574" width="14.42578125" style="41" bestFit="1" customWidth="1"/>
    <col min="2575" max="2582" width="11.42578125" style="41"/>
    <col min="2583" max="2583" width="18.42578125" style="41" bestFit="1" customWidth="1"/>
    <col min="2584" max="2817" width="11.42578125" style="41"/>
    <col min="2818" max="2818" width="5.42578125" style="41" customWidth="1"/>
    <col min="2819" max="2819" width="37" style="41" bestFit="1" customWidth="1"/>
    <col min="2820" max="2820" width="17.42578125" style="41" customWidth="1"/>
    <col min="2821" max="2821" width="11.42578125" style="41" bestFit="1" customWidth="1"/>
    <col min="2822" max="2822" width="12.85546875" style="41" bestFit="1" customWidth="1"/>
    <col min="2823" max="2823" width="7.5703125" style="41" bestFit="1" customWidth="1"/>
    <col min="2824" max="2824" width="16.42578125" style="41" bestFit="1" customWidth="1"/>
    <col min="2825" max="2825" width="13.42578125" style="41" bestFit="1" customWidth="1"/>
    <col min="2826" max="2826" width="16.42578125" style="41" bestFit="1" customWidth="1"/>
    <col min="2827" max="2827" width="11.42578125" style="41"/>
    <col min="2828" max="2828" width="18.42578125" style="41" bestFit="1" customWidth="1"/>
    <col min="2829" max="2829" width="11.42578125" style="41"/>
    <col min="2830" max="2830" width="14.42578125" style="41" bestFit="1" customWidth="1"/>
    <col min="2831" max="2838" width="11.42578125" style="41"/>
    <col min="2839" max="2839" width="18.42578125" style="41" bestFit="1" customWidth="1"/>
    <col min="2840" max="3073" width="11.42578125" style="41"/>
    <col min="3074" max="3074" width="5.42578125" style="41" customWidth="1"/>
    <col min="3075" max="3075" width="37" style="41" bestFit="1" customWidth="1"/>
    <col min="3076" max="3076" width="17.42578125" style="41" customWidth="1"/>
    <col min="3077" max="3077" width="11.42578125" style="41" bestFit="1" customWidth="1"/>
    <col min="3078" max="3078" width="12.85546875" style="41" bestFit="1" customWidth="1"/>
    <col min="3079" max="3079" width="7.5703125" style="41" bestFit="1" customWidth="1"/>
    <col min="3080" max="3080" width="16.42578125" style="41" bestFit="1" customWidth="1"/>
    <col min="3081" max="3081" width="13.42578125" style="41" bestFit="1" customWidth="1"/>
    <col min="3082" max="3082" width="16.42578125" style="41" bestFit="1" customWidth="1"/>
    <col min="3083" max="3083" width="11.42578125" style="41"/>
    <col min="3084" max="3084" width="18.42578125" style="41" bestFit="1" customWidth="1"/>
    <col min="3085" max="3085" width="11.42578125" style="41"/>
    <col min="3086" max="3086" width="14.42578125" style="41" bestFit="1" customWidth="1"/>
    <col min="3087" max="3094" width="11.42578125" style="41"/>
    <col min="3095" max="3095" width="18.42578125" style="41" bestFit="1" customWidth="1"/>
    <col min="3096" max="3329" width="11.42578125" style="41"/>
    <col min="3330" max="3330" width="5.42578125" style="41" customWidth="1"/>
    <col min="3331" max="3331" width="37" style="41" bestFit="1" customWidth="1"/>
    <col min="3332" max="3332" width="17.42578125" style="41" customWidth="1"/>
    <col min="3333" max="3333" width="11.42578125" style="41" bestFit="1" customWidth="1"/>
    <col min="3334" max="3334" width="12.85546875" style="41" bestFit="1" customWidth="1"/>
    <col min="3335" max="3335" width="7.5703125" style="41" bestFit="1" customWidth="1"/>
    <col min="3336" max="3336" width="16.42578125" style="41" bestFit="1" customWidth="1"/>
    <col min="3337" max="3337" width="13.42578125" style="41" bestFit="1" customWidth="1"/>
    <col min="3338" max="3338" width="16.42578125" style="41" bestFit="1" customWidth="1"/>
    <col min="3339" max="3339" width="11.42578125" style="41"/>
    <col min="3340" max="3340" width="18.42578125" style="41" bestFit="1" customWidth="1"/>
    <col min="3341" max="3341" width="11.42578125" style="41"/>
    <col min="3342" max="3342" width="14.42578125" style="41" bestFit="1" customWidth="1"/>
    <col min="3343" max="3350" width="11.42578125" style="41"/>
    <col min="3351" max="3351" width="18.42578125" style="41" bestFit="1" customWidth="1"/>
    <col min="3352" max="3585" width="11.42578125" style="41"/>
    <col min="3586" max="3586" width="5.42578125" style="41" customWidth="1"/>
    <col min="3587" max="3587" width="37" style="41" bestFit="1" customWidth="1"/>
    <col min="3588" max="3588" width="17.42578125" style="41" customWidth="1"/>
    <col min="3589" max="3589" width="11.42578125" style="41" bestFit="1" customWidth="1"/>
    <col min="3590" max="3590" width="12.85546875" style="41" bestFit="1" customWidth="1"/>
    <col min="3591" max="3591" width="7.5703125" style="41" bestFit="1" customWidth="1"/>
    <col min="3592" max="3592" width="16.42578125" style="41" bestFit="1" customWidth="1"/>
    <col min="3593" max="3593" width="13.42578125" style="41" bestFit="1" customWidth="1"/>
    <col min="3594" max="3594" width="16.42578125" style="41" bestFit="1" customWidth="1"/>
    <col min="3595" max="3595" width="11.42578125" style="41"/>
    <col min="3596" max="3596" width="18.42578125" style="41" bestFit="1" customWidth="1"/>
    <col min="3597" max="3597" width="11.42578125" style="41"/>
    <col min="3598" max="3598" width="14.42578125" style="41" bestFit="1" customWidth="1"/>
    <col min="3599" max="3606" width="11.42578125" style="41"/>
    <col min="3607" max="3607" width="18.42578125" style="41" bestFit="1" customWidth="1"/>
    <col min="3608" max="3841" width="11.42578125" style="41"/>
    <col min="3842" max="3842" width="5.42578125" style="41" customWidth="1"/>
    <col min="3843" max="3843" width="37" style="41" bestFit="1" customWidth="1"/>
    <col min="3844" max="3844" width="17.42578125" style="41" customWidth="1"/>
    <col min="3845" max="3845" width="11.42578125" style="41" bestFit="1" customWidth="1"/>
    <col min="3846" max="3846" width="12.85546875" style="41" bestFit="1" customWidth="1"/>
    <col min="3847" max="3847" width="7.5703125" style="41" bestFit="1" customWidth="1"/>
    <col min="3848" max="3848" width="16.42578125" style="41" bestFit="1" customWidth="1"/>
    <col min="3849" max="3849" width="13.42578125" style="41" bestFit="1" customWidth="1"/>
    <col min="3850" max="3850" width="16.42578125" style="41" bestFit="1" customWidth="1"/>
    <col min="3851" max="3851" width="11.42578125" style="41"/>
    <col min="3852" max="3852" width="18.42578125" style="41" bestFit="1" customWidth="1"/>
    <col min="3853" max="3853" width="11.42578125" style="41"/>
    <col min="3854" max="3854" width="14.42578125" style="41" bestFit="1" customWidth="1"/>
    <col min="3855" max="3862" width="11.42578125" style="41"/>
    <col min="3863" max="3863" width="18.42578125" style="41" bestFit="1" customWidth="1"/>
    <col min="3864" max="4097" width="11.42578125" style="41"/>
    <col min="4098" max="4098" width="5.42578125" style="41" customWidth="1"/>
    <col min="4099" max="4099" width="37" style="41" bestFit="1" customWidth="1"/>
    <col min="4100" max="4100" width="17.42578125" style="41" customWidth="1"/>
    <col min="4101" max="4101" width="11.42578125" style="41" bestFit="1" customWidth="1"/>
    <col min="4102" max="4102" width="12.85546875" style="41" bestFit="1" customWidth="1"/>
    <col min="4103" max="4103" width="7.5703125" style="41" bestFit="1" customWidth="1"/>
    <col min="4104" max="4104" width="16.42578125" style="41" bestFit="1" customWidth="1"/>
    <col min="4105" max="4105" width="13.42578125" style="41" bestFit="1" customWidth="1"/>
    <col min="4106" max="4106" width="16.42578125" style="41" bestFit="1" customWidth="1"/>
    <col min="4107" max="4107" width="11.42578125" style="41"/>
    <col min="4108" max="4108" width="18.42578125" style="41" bestFit="1" customWidth="1"/>
    <col min="4109" max="4109" width="11.42578125" style="41"/>
    <col min="4110" max="4110" width="14.42578125" style="41" bestFit="1" customWidth="1"/>
    <col min="4111" max="4118" width="11.42578125" style="41"/>
    <col min="4119" max="4119" width="18.42578125" style="41" bestFit="1" customWidth="1"/>
    <col min="4120" max="4353" width="11.42578125" style="41"/>
    <col min="4354" max="4354" width="5.42578125" style="41" customWidth="1"/>
    <col min="4355" max="4355" width="37" style="41" bestFit="1" customWidth="1"/>
    <col min="4356" max="4356" width="17.42578125" style="41" customWidth="1"/>
    <col min="4357" max="4357" width="11.42578125" style="41" bestFit="1" customWidth="1"/>
    <col min="4358" max="4358" width="12.85546875" style="41" bestFit="1" customWidth="1"/>
    <col min="4359" max="4359" width="7.5703125" style="41" bestFit="1" customWidth="1"/>
    <col min="4360" max="4360" width="16.42578125" style="41" bestFit="1" customWidth="1"/>
    <col min="4361" max="4361" width="13.42578125" style="41" bestFit="1" customWidth="1"/>
    <col min="4362" max="4362" width="16.42578125" style="41" bestFit="1" customWidth="1"/>
    <col min="4363" max="4363" width="11.42578125" style="41"/>
    <col min="4364" max="4364" width="18.42578125" style="41" bestFit="1" customWidth="1"/>
    <col min="4365" max="4365" width="11.42578125" style="41"/>
    <col min="4366" max="4366" width="14.42578125" style="41" bestFit="1" customWidth="1"/>
    <col min="4367" max="4374" width="11.42578125" style="41"/>
    <col min="4375" max="4375" width="18.42578125" style="41" bestFit="1" customWidth="1"/>
    <col min="4376" max="4609" width="11.42578125" style="41"/>
    <col min="4610" max="4610" width="5.42578125" style="41" customWidth="1"/>
    <col min="4611" max="4611" width="37" style="41" bestFit="1" customWidth="1"/>
    <col min="4612" max="4612" width="17.42578125" style="41" customWidth="1"/>
    <col min="4613" max="4613" width="11.42578125" style="41" bestFit="1" customWidth="1"/>
    <col min="4614" max="4614" width="12.85546875" style="41" bestFit="1" customWidth="1"/>
    <col min="4615" max="4615" width="7.5703125" style="41" bestFit="1" customWidth="1"/>
    <col min="4616" max="4616" width="16.42578125" style="41" bestFit="1" customWidth="1"/>
    <col min="4617" max="4617" width="13.42578125" style="41" bestFit="1" customWidth="1"/>
    <col min="4618" max="4618" width="16.42578125" style="41" bestFit="1" customWidth="1"/>
    <col min="4619" max="4619" width="11.42578125" style="41"/>
    <col min="4620" max="4620" width="18.42578125" style="41" bestFit="1" customWidth="1"/>
    <col min="4621" max="4621" width="11.42578125" style="41"/>
    <col min="4622" max="4622" width="14.42578125" style="41" bestFit="1" customWidth="1"/>
    <col min="4623" max="4630" width="11.42578125" style="41"/>
    <col min="4631" max="4631" width="18.42578125" style="41" bestFit="1" customWidth="1"/>
    <col min="4632" max="4865" width="11.42578125" style="41"/>
    <col min="4866" max="4866" width="5.42578125" style="41" customWidth="1"/>
    <col min="4867" max="4867" width="37" style="41" bestFit="1" customWidth="1"/>
    <col min="4868" max="4868" width="17.42578125" style="41" customWidth="1"/>
    <col min="4869" max="4869" width="11.42578125" style="41" bestFit="1" customWidth="1"/>
    <col min="4870" max="4870" width="12.85546875" style="41" bestFit="1" customWidth="1"/>
    <col min="4871" max="4871" width="7.5703125" style="41" bestFit="1" customWidth="1"/>
    <col min="4872" max="4872" width="16.42578125" style="41" bestFit="1" customWidth="1"/>
    <col min="4873" max="4873" width="13.42578125" style="41" bestFit="1" customWidth="1"/>
    <col min="4874" max="4874" width="16.42578125" style="41" bestFit="1" customWidth="1"/>
    <col min="4875" max="4875" width="11.42578125" style="41"/>
    <col min="4876" max="4876" width="18.42578125" style="41" bestFit="1" customWidth="1"/>
    <col min="4877" max="4877" width="11.42578125" style="41"/>
    <col min="4878" max="4878" width="14.42578125" style="41" bestFit="1" customWidth="1"/>
    <col min="4879" max="4886" width="11.42578125" style="41"/>
    <col min="4887" max="4887" width="18.42578125" style="41" bestFit="1" customWidth="1"/>
    <col min="4888" max="5121" width="11.42578125" style="41"/>
    <col min="5122" max="5122" width="5.42578125" style="41" customWidth="1"/>
    <col min="5123" max="5123" width="37" style="41" bestFit="1" customWidth="1"/>
    <col min="5124" max="5124" width="17.42578125" style="41" customWidth="1"/>
    <col min="5125" max="5125" width="11.42578125" style="41" bestFit="1" customWidth="1"/>
    <col min="5126" max="5126" width="12.85546875" style="41" bestFit="1" customWidth="1"/>
    <col min="5127" max="5127" width="7.5703125" style="41" bestFit="1" customWidth="1"/>
    <col min="5128" max="5128" width="16.42578125" style="41" bestFit="1" customWidth="1"/>
    <col min="5129" max="5129" width="13.42578125" style="41" bestFit="1" customWidth="1"/>
    <col min="5130" max="5130" width="16.42578125" style="41" bestFit="1" customWidth="1"/>
    <col min="5131" max="5131" width="11.42578125" style="41"/>
    <col min="5132" max="5132" width="18.42578125" style="41" bestFit="1" customWidth="1"/>
    <col min="5133" max="5133" width="11.42578125" style="41"/>
    <col min="5134" max="5134" width="14.42578125" style="41" bestFit="1" customWidth="1"/>
    <col min="5135" max="5142" width="11.42578125" style="41"/>
    <col min="5143" max="5143" width="18.42578125" style="41" bestFit="1" customWidth="1"/>
    <col min="5144" max="5377" width="11.42578125" style="41"/>
    <col min="5378" max="5378" width="5.42578125" style="41" customWidth="1"/>
    <col min="5379" max="5379" width="37" style="41" bestFit="1" customWidth="1"/>
    <col min="5380" max="5380" width="17.42578125" style="41" customWidth="1"/>
    <col min="5381" max="5381" width="11.42578125" style="41" bestFit="1" customWidth="1"/>
    <col min="5382" max="5382" width="12.85546875" style="41" bestFit="1" customWidth="1"/>
    <col min="5383" max="5383" width="7.5703125" style="41" bestFit="1" customWidth="1"/>
    <col min="5384" max="5384" width="16.42578125" style="41" bestFit="1" customWidth="1"/>
    <col min="5385" max="5385" width="13.42578125" style="41" bestFit="1" customWidth="1"/>
    <col min="5386" max="5386" width="16.42578125" style="41" bestFit="1" customWidth="1"/>
    <col min="5387" max="5387" width="11.42578125" style="41"/>
    <col min="5388" max="5388" width="18.42578125" style="41" bestFit="1" customWidth="1"/>
    <col min="5389" max="5389" width="11.42578125" style="41"/>
    <col min="5390" max="5390" width="14.42578125" style="41" bestFit="1" customWidth="1"/>
    <col min="5391" max="5398" width="11.42578125" style="41"/>
    <col min="5399" max="5399" width="18.42578125" style="41" bestFit="1" customWidth="1"/>
    <col min="5400" max="5633" width="11.42578125" style="41"/>
    <col min="5634" max="5634" width="5.42578125" style="41" customWidth="1"/>
    <col min="5635" max="5635" width="37" style="41" bestFit="1" customWidth="1"/>
    <col min="5636" max="5636" width="17.42578125" style="41" customWidth="1"/>
    <col min="5637" max="5637" width="11.42578125" style="41" bestFit="1" customWidth="1"/>
    <col min="5638" max="5638" width="12.85546875" style="41" bestFit="1" customWidth="1"/>
    <col min="5639" max="5639" width="7.5703125" style="41" bestFit="1" customWidth="1"/>
    <col min="5640" max="5640" width="16.42578125" style="41" bestFit="1" customWidth="1"/>
    <col min="5641" max="5641" width="13.42578125" style="41" bestFit="1" customWidth="1"/>
    <col min="5642" max="5642" width="16.42578125" style="41" bestFit="1" customWidth="1"/>
    <col min="5643" max="5643" width="11.42578125" style="41"/>
    <col min="5644" max="5644" width="18.42578125" style="41" bestFit="1" customWidth="1"/>
    <col min="5645" max="5645" width="11.42578125" style="41"/>
    <col min="5646" max="5646" width="14.42578125" style="41" bestFit="1" customWidth="1"/>
    <col min="5647" max="5654" width="11.42578125" style="41"/>
    <col min="5655" max="5655" width="18.42578125" style="41" bestFit="1" customWidth="1"/>
    <col min="5656" max="5889" width="11.42578125" style="41"/>
    <col min="5890" max="5890" width="5.42578125" style="41" customWidth="1"/>
    <col min="5891" max="5891" width="37" style="41" bestFit="1" customWidth="1"/>
    <col min="5892" max="5892" width="17.42578125" style="41" customWidth="1"/>
    <col min="5893" max="5893" width="11.42578125" style="41" bestFit="1" customWidth="1"/>
    <col min="5894" max="5894" width="12.85546875" style="41" bestFit="1" customWidth="1"/>
    <col min="5895" max="5895" width="7.5703125" style="41" bestFit="1" customWidth="1"/>
    <col min="5896" max="5896" width="16.42578125" style="41" bestFit="1" customWidth="1"/>
    <col min="5897" max="5897" width="13.42578125" style="41" bestFit="1" customWidth="1"/>
    <col min="5898" max="5898" width="16.42578125" style="41" bestFit="1" customWidth="1"/>
    <col min="5899" max="5899" width="11.42578125" style="41"/>
    <col min="5900" max="5900" width="18.42578125" style="41" bestFit="1" customWidth="1"/>
    <col min="5901" max="5901" width="11.42578125" style="41"/>
    <col min="5902" max="5902" width="14.42578125" style="41" bestFit="1" customWidth="1"/>
    <col min="5903" max="5910" width="11.42578125" style="41"/>
    <col min="5911" max="5911" width="18.42578125" style="41" bestFit="1" customWidth="1"/>
    <col min="5912" max="6145" width="11.42578125" style="41"/>
    <col min="6146" max="6146" width="5.42578125" style="41" customWidth="1"/>
    <col min="6147" max="6147" width="37" style="41" bestFit="1" customWidth="1"/>
    <col min="6148" max="6148" width="17.42578125" style="41" customWidth="1"/>
    <col min="6149" max="6149" width="11.42578125" style="41" bestFit="1" customWidth="1"/>
    <col min="6150" max="6150" width="12.85546875" style="41" bestFit="1" customWidth="1"/>
    <col min="6151" max="6151" width="7.5703125" style="41" bestFit="1" customWidth="1"/>
    <col min="6152" max="6152" width="16.42578125" style="41" bestFit="1" customWidth="1"/>
    <col min="6153" max="6153" width="13.42578125" style="41" bestFit="1" customWidth="1"/>
    <col min="6154" max="6154" width="16.42578125" style="41" bestFit="1" customWidth="1"/>
    <col min="6155" max="6155" width="11.42578125" style="41"/>
    <col min="6156" max="6156" width="18.42578125" style="41" bestFit="1" customWidth="1"/>
    <col min="6157" max="6157" width="11.42578125" style="41"/>
    <col min="6158" max="6158" width="14.42578125" style="41" bestFit="1" customWidth="1"/>
    <col min="6159" max="6166" width="11.42578125" style="41"/>
    <col min="6167" max="6167" width="18.42578125" style="41" bestFit="1" customWidth="1"/>
    <col min="6168" max="6401" width="11.42578125" style="41"/>
    <col min="6402" max="6402" width="5.42578125" style="41" customWidth="1"/>
    <col min="6403" max="6403" width="37" style="41" bestFit="1" customWidth="1"/>
    <col min="6404" max="6404" width="17.42578125" style="41" customWidth="1"/>
    <col min="6405" max="6405" width="11.42578125" style="41" bestFit="1" customWidth="1"/>
    <col min="6406" max="6406" width="12.85546875" style="41" bestFit="1" customWidth="1"/>
    <col min="6407" max="6407" width="7.5703125" style="41" bestFit="1" customWidth="1"/>
    <col min="6408" max="6408" width="16.42578125" style="41" bestFit="1" customWidth="1"/>
    <col min="6409" max="6409" width="13.42578125" style="41" bestFit="1" customWidth="1"/>
    <col min="6410" max="6410" width="16.42578125" style="41" bestFit="1" customWidth="1"/>
    <col min="6411" max="6411" width="11.42578125" style="41"/>
    <col min="6412" max="6412" width="18.42578125" style="41" bestFit="1" customWidth="1"/>
    <col min="6413" max="6413" width="11.42578125" style="41"/>
    <col min="6414" max="6414" width="14.42578125" style="41" bestFit="1" customWidth="1"/>
    <col min="6415" max="6422" width="11.42578125" style="41"/>
    <col min="6423" max="6423" width="18.42578125" style="41" bestFit="1" customWidth="1"/>
    <col min="6424" max="6657" width="11.42578125" style="41"/>
    <col min="6658" max="6658" width="5.42578125" style="41" customWidth="1"/>
    <col min="6659" max="6659" width="37" style="41" bestFit="1" customWidth="1"/>
    <col min="6660" max="6660" width="17.42578125" style="41" customWidth="1"/>
    <col min="6661" max="6661" width="11.42578125" style="41" bestFit="1" customWidth="1"/>
    <col min="6662" max="6662" width="12.85546875" style="41" bestFit="1" customWidth="1"/>
    <col min="6663" max="6663" width="7.5703125" style="41" bestFit="1" customWidth="1"/>
    <col min="6664" max="6664" width="16.42578125" style="41" bestFit="1" customWidth="1"/>
    <col min="6665" max="6665" width="13.42578125" style="41" bestFit="1" customWidth="1"/>
    <col min="6666" max="6666" width="16.42578125" style="41" bestFit="1" customWidth="1"/>
    <col min="6667" max="6667" width="11.42578125" style="41"/>
    <col min="6668" max="6668" width="18.42578125" style="41" bestFit="1" customWidth="1"/>
    <col min="6669" max="6669" width="11.42578125" style="41"/>
    <col min="6670" max="6670" width="14.42578125" style="41" bestFit="1" customWidth="1"/>
    <col min="6671" max="6678" width="11.42578125" style="41"/>
    <col min="6679" max="6679" width="18.42578125" style="41" bestFit="1" customWidth="1"/>
    <col min="6680" max="6913" width="11.42578125" style="41"/>
    <col min="6914" max="6914" width="5.42578125" style="41" customWidth="1"/>
    <col min="6915" max="6915" width="37" style="41" bestFit="1" customWidth="1"/>
    <col min="6916" max="6916" width="17.42578125" style="41" customWidth="1"/>
    <col min="6917" max="6917" width="11.42578125" style="41" bestFit="1" customWidth="1"/>
    <col min="6918" max="6918" width="12.85546875" style="41" bestFit="1" customWidth="1"/>
    <col min="6919" max="6919" width="7.5703125" style="41" bestFit="1" customWidth="1"/>
    <col min="6920" max="6920" width="16.42578125" style="41" bestFit="1" customWidth="1"/>
    <col min="6921" max="6921" width="13.42578125" style="41" bestFit="1" customWidth="1"/>
    <col min="6922" max="6922" width="16.42578125" style="41" bestFit="1" customWidth="1"/>
    <col min="6923" max="6923" width="11.42578125" style="41"/>
    <col min="6924" max="6924" width="18.42578125" style="41" bestFit="1" customWidth="1"/>
    <col min="6925" max="6925" width="11.42578125" style="41"/>
    <col min="6926" max="6926" width="14.42578125" style="41" bestFit="1" customWidth="1"/>
    <col min="6927" max="6934" width="11.42578125" style="41"/>
    <col min="6935" max="6935" width="18.42578125" style="41" bestFit="1" customWidth="1"/>
    <col min="6936" max="7169" width="11.42578125" style="41"/>
    <col min="7170" max="7170" width="5.42578125" style="41" customWidth="1"/>
    <col min="7171" max="7171" width="37" style="41" bestFit="1" customWidth="1"/>
    <col min="7172" max="7172" width="17.42578125" style="41" customWidth="1"/>
    <col min="7173" max="7173" width="11.42578125" style="41" bestFit="1" customWidth="1"/>
    <col min="7174" max="7174" width="12.85546875" style="41" bestFit="1" customWidth="1"/>
    <col min="7175" max="7175" width="7.5703125" style="41" bestFit="1" customWidth="1"/>
    <col min="7176" max="7176" width="16.42578125" style="41" bestFit="1" customWidth="1"/>
    <col min="7177" max="7177" width="13.42578125" style="41" bestFit="1" customWidth="1"/>
    <col min="7178" max="7178" width="16.42578125" style="41" bestFit="1" customWidth="1"/>
    <col min="7179" max="7179" width="11.42578125" style="41"/>
    <col min="7180" max="7180" width="18.42578125" style="41" bestFit="1" customWidth="1"/>
    <col min="7181" max="7181" width="11.42578125" style="41"/>
    <col min="7182" max="7182" width="14.42578125" style="41" bestFit="1" customWidth="1"/>
    <col min="7183" max="7190" width="11.42578125" style="41"/>
    <col min="7191" max="7191" width="18.42578125" style="41" bestFit="1" customWidth="1"/>
    <col min="7192" max="7425" width="11.42578125" style="41"/>
    <col min="7426" max="7426" width="5.42578125" style="41" customWidth="1"/>
    <col min="7427" max="7427" width="37" style="41" bestFit="1" customWidth="1"/>
    <col min="7428" max="7428" width="17.42578125" style="41" customWidth="1"/>
    <col min="7429" max="7429" width="11.42578125" style="41" bestFit="1" customWidth="1"/>
    <col min="7430" max="7430" width="12.85546875" style="41" bestFit="1" customWidth="1"/>
    <col min="7431" max="7431" width="7.5703125" style="41" bestFit="1" customWidth="1"/>
    <col min="7432" max="7432" width="16.42578125" style="41" bestFit="1" customWidth="1"/>
    <col min="7433" max="7433" width="13.42578125" style="41" bestFit="1" customWidth="1"/>
    <col min="7434" max="7434" width="16.42578125" style="41" bestFit="1" customWidth="1"/>
    <col min="7435" max="7435" width="11.42578125" style="41"/>
    <col min="7436" max="7436" width="18.42578125" style="41" bestFit="1" customWidth="1"/>
    <col min="7437" max="7437" width="11.42578125" style="41"/>
    <col min="7438" max="7438" width="14.42578125" style="41" bestFit="1" customWidth="1"/>
    <col min="7439" max="7446" width="11.42578125" style="41"/>
    <col min="7447" max="7447" width="18.42578125" style="41" bestFit="1" customWidth="1"/>
    <col min="7448" max="7681" width="11.42578125" style="41"/>
    <col min="7682" max="7682" width="5.42578125" style="41" customWidth="1"/>
    <col min="7683" max="7683" width="37" style="41" bestFit="1" customWidth="1"/>
    <col min="7684" max="7684" width="17.42578125" style="41" customWidth="1"/>
    <col min="7685" max="7685" width="11.42578125" style="41" bestFit="1" customWidth="1"/>
    <col min="7686" max="7686" width="12.85546875" style="41" bestFit="1" customWidth="1"/>
    <col min="7687" max="7687" width="7.5703125" style="41" bestFit="1" customWidth="1"/>
    <col min="7688" max="7688" width="16.42578125" style="41" bestFit="1" customWidth="1"/>
    <col min="7689" max="7689" width="13.42578125" style="41" bestFit="1" customWidth="1"/>
    <col min="7690" max="7690" width="16.42578125" style="41" bestFit="1" customWidth="1"/>
    <col min="7691" max="7691" width="11.42578125" style="41"/>
    <col min="7692" max="7692" width="18.42578125" style="41" bestFit="1" customWidth="1"/>
    <col min="7693" max="7693" width="11.42578125" style="41"/>
    <col min="7694" max="7694" width="14.42578125" style="41" bestFit="1" customWidth="1"/>
    <col min="7695" max="7702" width="11.42578125" style="41"/>
    <col min="7703" max="7703" width="18.42578125" style="41" bestFit="1" customWidth="1"/>
    <col min="7704" max="7937" width="11.42578125" style="41"/>
    <col min="7938" max="7938" width="5.42578125" style="41" customWidth="1"/>
    <col min="7939" max="7939" width="37" style="41" bestFit="1" customWidth="1"/>
    <col min="7940" max="7940" width="17.42578125" style="41" customWidth="1"/>
    <col min="7941" max="7941" width="11.42578125" style="41" bestFit="1" customWidth="1"/>
    <col min="7942" max="7942" width="12.85546875" style="41" bestFit="1" customWidth="1"/>
    <col min="7943" max="7943" width="7.5703125" style="41" bestFit="1" customWidth="1"/>
    <col min="7944" max="7944" width="16.42578125" style="41" bestFit="1" customWidth="1"/>
    <col min="7945" max="7945" width="13.42578125" style="41" bestFit="1" customWidth="1"/>
    <col min="7946" max="7946" width="16.42578125" style="41" bestFit="1" customWidth="1"/>
    <col min="7947" max="7947" width="11.42578125" style="41"/>
    <col min="7948" max="7948" width="18.42578125" style="41" bestFit="1" customWidth="1"/>
    <col min="7949" max="7949" width="11.42578125" style="41"/>
    <col min="7950" max="7950" width="14.42578125" style="41" bestFit="1" customWidth="1"/>
    <col min="7951" max="7958" width="11.42578125" style="41"/>
    <col min="7959" max="7959" width="18.42578125" style="41" bestFit="1" customWidth="1"/>
    <col min="7960" max="8193" width="11.42578125" style="41"/>
    <col min="8194" max="8194" width="5.42578125" style="41" customWidth="1"/>
    <col min="8195" max="8195" width="37" style="41" bestFit="1" customWidth="1"/>
    <col min="8196" max="8196" width="17.42578125" style="41" customWidth="1"/>
    <col min="8197" max="8197" width="11.42578125" style="41" bestFit="1" customWidth="1"/>
    <col min="8198" max="8198" width="12.85546875" style="41" bestFit="1" customWidth="1"/>
    <col min="8199" max="8199" width="7.5703125" style="41" bestFit="1" customWidth="1"/>
    <col min="8200" max="8200" width="16.42578125" style="41" bestFit="1" customWidth="1"/>
    <col min="8201" max="8201" width="13.42578125" style="41" bestFit="1" customWidth="1"/>
    <col min="8202" max="8202" width="16.42578125" style="41" bestFit="1" customWidth="1"/>
    <col min="8203" max="8203" width="11.42578125" style="41"/>
    <col min="8204" max="8204" width="18.42578125" style="41" bestFit="1" customWidth="1"/>
    <col min="8205" max="8205" width="11.42578125" style="41"/>
    <col min="8206" max="8206" width="14.42578125" style="41" bestFit="1" customWidth="1"/>
    <col min="8207" max="8214" width="11.42578125" style="41"/>
    <col min="8215" max="8215" width="18.42578125" style="41" bestFit="1" customWidth="1"/>
    <col min="8216" max="8449" width="11.42578125" style="41"/>
    <col min="8450" max="8450" width="5.42578125" style="41" customWidth="1"/>
    <col min="8451" max="8451" width="37" style="41" bestFit="1" customWidth="1"/>
    <col min="8452" max="8452" width="17.42578125" style="41" customWidth="1"/>
    <col min="8453" max="8453" width="11.42578125" style="41" bestFit="1" customWidth="1"/>
    <col min="8454" max="8454" width="12.85546875" style="41" bestFit="1" customWidth="1"/>
    <col min="8455" max="8455" width="7.5703125" style="41" bestFit="1" customWidth="1"/>
    <col min="8456" max="8456" width="16.42578125" style="41" bestFit="1" customWidth="1"/>
    <col min="8457" max="8457" width="13.42578125" style="41" bestFit="1" customWidth="1"/>
    <col min="8458" max="8458" width="16.42578125" style="41" bestFit="1" customWidth="1"/>
    <col min="8459" max="8459" width="11.42578125" style="41"/>
    <col min="8460" max="8460" width="18.42578125" style="41" bestFit="1" customWidth="1"/>
    <col min="8461" max="8461" width="11.42578125" style="41"/>
    <col min="8462" max="8462" width="14.42578125" style="41" bestFit="1" customWidth="1"/>
    <col min="8463" max="8470" width="11.42578125" style="41"/>
    <col min="8471" max="8471" width="18.42578125" style="41" bestFit="1" customWidth="1"/>
    <col min="8472" max="8705" width="11.42578125" style="41"/>
    <col min="8706" max="8706" width="5.42578125" style="41" customWidth="1"/>
    <col min="8707" max="8707" width="37" style="41" bestFit="1" customWidth="1"/>
    <col min="8708" max="8708" width="17.42578125" style="41" customWidth="1"/>
    <col min="8709" max="8709" width="11.42578125" style="41" bestFit="1" customWidth="1"/>
    <col min="8710" max="8710" width="12.85546875" style="41" bestFit="1" customWidth="1"/>
    <col min="8711" max="8711" width="7.5703125" style="41" bestFit="1" customWidth="1"/>
    <col min="8712" max="8712" width="16.42578125" style="41" bestFit="1" customWidth="1"/>
    <col min="8713" max="8713" width="13.42578125" style="41" bestFit="1" customWidth="1"/>
    <col min="8714" max="8714" width="16.42578125" style="41" bestFit="1" customWidth="1"/>
    <col min="8715" max="8715" width="11.42578125" style="41"/>
    <col min="8716" max="8716" width="18.42578125" style="41" bestFit="1" customWidth="1"/>
    <col min="8717" max="8717" width="11.42578125" style="41"/>
    <col min="8718" max="8718" width="14.42578125" style="41" bestFit="1" customWidth="1"/>
    <col min="8719" max="8726" width="11.42578125" style="41"/>
    <col min="8727" max="8727" width="18.42578125" style="41" bestFit="1" customWidth="1"/>
    <col min="8728" max="8961" width="11.42578125" style="41"/>
    <col min="8962" max="8962" width="5.42578125" style="41" customWidth="1"/>
    <col min="8963" max="8963" width="37" style="41" bestFit="1" customWidth="1"/>
    <col min="8964" max="8964" width="17.42578125" style="41" customWidth="1"/>
    <col min="8965" max="8965" width="11.42578125" style="41" bestFit="1" customWidth="1"/>
    <col min="8966" max="8966" width="12.85546875" style="41" bestFit="1" customWidth="1"/>
    <col min="8967" max="8967" width="7.5703125" style="41" bestFit="1" customWidth="1"/>
    <col min="8968" max="8968" width="16.42578125" style="41" bestFit="1" customWidth="1"/>
    <col min="8969" max="8969" width="13.42578125" style="41" bestFit="1" customWidth="1"/>
    <col min="8970" max="8970" width="16.42578125" style="41" bestFit="1" customWidth="1"/>
    <col min="8971" max="8971" width="11.42578125" style="41"/>
    <col min="8972" max="8972" width="18.42578125" style="41" bestFit="1" customWidth="1"/>
    <col min="8973" max="8973" width="11.42578125" style="41"/>
    <col min="8974" max="8974" width="14.42578125" style="41" bestFit="1" customWidth="1"/>
    <col min="8975" max="8982" width="11.42578125" style="41"/>
    <col min="8983" max="8983" width="18.42578125" style="41" bestFit="1" customWidth="1"/>
    <col min="8984" max="9217" width="11.42578125" style="41"/>
    <col min="9218" max="9218" width="5.42578125" style="41" customWidth="1"/>
    <col min="9219" max="9219" width="37" style="41" bestFit="1" customWidth="1"/>
    <col min="9220" max="9220" width="17.42578125" style="41" customWidth="1"/>
    <col min="9221" max="9221" width="11.42578125" style="41" bestFit="1" customWidth="1"/>
    <col min="9222" max="9222" width="12.85546875" style="41" bestFit="1" customWidth="1"/>
    <col min="9223" max="9223" width="7.5703125" style="41" bestFit="1" customWidth="1"/>
    <col min="9224" max="9224" width="16.42578125" style="41" bestFit="1" customWidth="1"/>
    <col min="9225" max="9225" width="13.42578125" style="41" bestFit="1" customWidth="1"/>
    <col min="9226" max="9226" width="16.42578125" style="41" bestFit="1" customWidth="1"/>
    <col min="9227" max="9227" width="11.42578125" style="41"/>
    <col min="9228" max="9228" width="18.42578125" style="41" bestFit="1" customWidth="1"/>
    <col min="9229" max="9229" width="11.42578125" style="41"/>
    <col min="9230" max="9230" width="14.42578125" style="41" bestFit="1" customWidth="1"/>
    <col min="9231" max="9238" width="11.42578125" style="41"/>
    <col min="9239" max="9239" width="18.42578125" style="41" bestFit="1" customWidth="1"/>
    <col min="9240" max="9473" width="11.42578125" style="41"/>
    <col min="9474" max="9474" width="5.42578125" style="41" customWidth="1"/>
    <col min="9475" max="9475" width="37" style="41" bestFit="1" customWidth="1"/>
    <col min="9476" max="9476" width="17.42578125" style="41" customWidth="1"/>
    <col min="9477" max="9477" width="11.42578125" style="41" bestFit="1" customWidth="1"/>
    <col min="9478" max="9478" width="12.85546875" style="41" bestFit="1" customWidth="1"/>
    <col min="9479" max="9479" width="7.5703125" style="41" bestFit="1" customWidth="1"/>
    <col min="9480" max="9480" width="16.42578125" style="41" bestFit="1" customWidth="1"/>
    <col min="9481" max="9481" width="13.42578125" style="41" bestFit="1" customWidth="1"/>
    <col min="9482" max="9482" width="16.42578125" style="41" bestFit="1" customWidth="1"/>
    <col min="9483" max="9483" width="11.42578125" style="41"/>
    <col min="9484" max="9484" width="18.42578125" style="41" bestFit="1" customWidth="1"/>
    <col min="9485" max="9485" width="11.42578125" style="41"/>
    <col min="9486" max="9486" width="14.42578125" style="41" bestFit="1" customWidth="1"/>
    <col min="9487" max="9494" width="11.42578125" style="41"/>
    <col min="9495" max="9495" width="18.42578125" style="41" bestFit="1" customWidth="1"/>
    <col min="9496" max="9729" width="11.42578125" style="41"/>
    <col min="9730" max="9730" width="5.42578125" style="41" customWidth="1"/>
    <col min="9731" max="9731" width="37" style="41" bestFit="1" customWidth="1"/>
    <col min="9732" max="9732" width="17.42578125" style="41" customWidth="1"/>
    <col min="9733" max="9733" width="11.42578125" style="41" bestFit="1" customWidth="1"/>
    <col min="9734" max="9734" width="12.85546875" style="41" bestFit="1" customWidth="1"/>
    <col min="9735" max="9735" width="7.5703125" style="41" bestFit="1" customWidth="1"/>
    <col min="9736" max="9736" width="16.42578125" style="41" bestFit="1" customWidth="1"/>
    <col min="9737" max="9737" width="13.42578125" style="41" bestFit="1" customWidth="1"/>
    <col min="9738" max="9738" width="16.42578125" style="41" bestFit="1" customWidth="1"/>
    <col min="9739" max="9739" width="11.42578125" style="41"/>
    <col min="9740" max="9740" width="18.42578125" style="41" bestFit="1" customWidth="1"/>
    <col min="9741" max="9741" width="11.42578125" style="41"/>
    <col min="9742" max="9742" width="14.42578125" style="41" bestFit="1" customWidth="1"/>
    <col min="9743" max="9750" width="11.42578125" style="41"/>
    <col min="9751" max="9751" width="18.42578125" style="41" bestFit="1" customWidth="1"/>
    <col min="9752" max="9985" width="11.42578125" style="41"/>
    <col min="9986" max="9986" width="5.42578125" style="41" customWidth="1"/>
    <col min="9987" max="9987" width="37" style="41" bestFit="1" customWidth="1"/>
    <col min="9988" max="9988" width="17.42578125" style="41" customWidth="1"/>
    <col min="9989" max="9989" width="11.42578125" style="41" bestFit="1" customWidth="1"/>
    <col min="9990" max="9990" width="12.85546875" style="41" bestFit="1" customWidth="1"/>
    <col min="9991" max="9991" width="7.5703125" style="41" bestFit="1" customWidth="1"/>
    <col min="9992" max="9992" width="16.42578125" style="41" bestFit="1" customWidth="1"/>
    <col min="9993" max="9993" width="13.42578125" style="41" bestFit="1" customWidth="1"/>
    <col min="9994" max="9994" width="16.42578125" style="41" bestFit="1" customWidth="1"/>
    <col min="9995" max="9995" width="11.42578125" style="41"/>
    <col min="9996" max="9996" width="18.42578125" style="41" bestFit="1" customWidth="1"/>
    <col min="9997" max="9997" width="11.42578125" style="41"/>
    <col min="9998" max="9998" width="14.42578125" style="41" bestFit="1" customWidth="1"/>
    <col min="9999" max="10006" width="11.42578125" style="41"/>
    <col min="10007" max="10007" width="18.42578125" style="41" bestFit="1" customWidth="1"/>
    <col min="10008" max="10241" width="11.42578125" style="41"/>
    <col min="10242" max="10242" width="5.42578125" style="41" customWidth="1"/>
    <col min="10243" max="10243" width="37" style="41" bestFit="1" customWidth="1"/>
    <col min="10244" max="10244" width="17.42578125" style="41" customWidth="1"/>
    <col min="10245" max="10245" width="11.42578125" style="41" bestFit="1" customWidth="1"/>
    <col min="10246" max="10246" width="12.85546875" style="41" bestFit="1" customWidth="1"/>
    <col min="10247" max="10247" width="7.5703125" style="41" bestFit="1" customWidth="1"/>
    <col min="10248" max="10248" width="16.42578125" style="41" bestFit="1" customWidth="1"/>
    <col min="10249" max="10249" width="13.42578125" style="41" bestFit="1" customWidth="1"/>
    <col min="10250" max="10250" width="16.42578125" style="41" bestFit="1" customWidth="1"/>
    <col min="10251" max="10251" width="11.42578125" style="41"/>
    <col min="10252" max="10252" width="18.42578125" style="41" bestFit="1" customWidth="1"/>
    <col min="10253" max="10253" width="11.42578125" style="41"/>
    <col min="10254" max="10254" width="14.42578125" style="41" bestFit="1" customWidth="1"/>
    <col min="10255" max="10262" width="11.42578125" style="41"/>
    <col min="10263" max="10263" width="18.42578125" style="41" bestFit="1" customWidth="1"/>
    <col min="10264" max="10497" width="11.42578125" style="41"/>
    <col min="10498" max="10498" width="5.42578125" style="41" customWidth="1"/>
    <col min="10499" max="10499" width="37" style="41" bestFit="1" customWidth="1"/>
    <col min="10500" max="10500" width="17.42578125" style="41" customWidth="1"/>
    <col min="10501" max="10501" width="11.42578125" style="41" bestFit="1" customWidth="1"/>
    <col min="10502" max="10502" width="12.85546875" style="41" bestFit="1" customWidth="1"/>
    <col min="10503" max="10503" width="7.5703125" style="41" bestFit="1" customWidth="1"/>
    <col min="10504" max="10504" width="16.42578125" style="41" bestFit="1" customWidth="1"/>
    <col min="10505" max="10505" width="13.42578125" style="41" bestFit="1" customWidth="1"/>
    <col min="10506" max="10506" width="16.42578125" style="41" bestFit="1" customWidth="1"/>
    <col min="10507" max="10507" width="11.42578125" style="41"/>
    <col min="10508" max="10508" width="18.42578125" style="41" bestFit="1" customWidth="1"/>
    <col min="10509" max="10509" width="11.42578125" style="41"/>
    <col min="10510" max="10510" width="14.42578125" style="41" bestFit="1" customWidth="1"/>
    <col min="10511" max="10518" width="11.42578125" style="41"/>
    <col min="10519" max="10519" width="18.42578125" style="41" bestFit="1" customWidth="1"/>
    <col min="10520" max="10753" width="11.42578125" style="41"/>
    <col min="10754" max="10754" width="5.42578125" style="41" customWidth="1"/>
    <col min="10755" max="10755" width="37" style="41" bestFit="1" customWidth="1"/>
    <col min="10756" max="10756" width="17.42578125" style="41" customWidth="1"/>
    <col min="10757" max="10757" width="11.42578125" style="41" bestFit="1" customWidth="1"/>
    <col min="10758" max="10758" width="12.85546875" style="41" bestFit="1" customWidth="1"/>
    <col min="10759" max="10759" width="7.5703125" style="41" bestFit="1" customWidth="1"/>
    <col min="10760" max="10760" width="16.42578125" style="41" bestFit="1" customWidth="1"/>
    <col min="10761" max="10761" width="13.42578125" style="41" bestFit="1" customWidth="1"/>
    <col min="10762" max="10762" width="16.42578125" style="41" bestFit="1" customWidth="1"/>
    <col min="10763" max="10763" width="11.42578125" style="41"/>
    <col min="10764" max="10764" width="18.42578125" style="41" bestFit="1" customWidth="1"/>
    <col min="10765" max="10765" width="11.42578125" style="41"/>
    <col min="10766" max="10766" width="14.42578125" style="41" bestFit="1" customWidth="1"/>
    <col min="10767" max="10774" width="11.42578125" style="41"/>
    <col min="10775" max="10775" width="18.42578125" style="41" bestFit="1" customWidth="1"/>
    <col min="10776" max="11009" width="11.42578125" style="41"/>
    <col min="11010" max="11010" width="5.42578125" style="41" customWidth="1"/>
    <col min="11011" max="11011" width="37" style="41" bestFit="1" customWidth="1"/>
    <col min="11012" max="11012" width="17.42578125" style="41" customWidth="1"/>
    <col min="11013" max="11013" width="11.42578125" style="41" bestFit="1" customWidth="1"/>
    <col min="11014" max="11014" width="12.85546875" style="41" bestFit="1" customWidth="1"/>
    <col min="11015" max="11015" width="7.5703125" style="41" bestFit="1" customWidth="1"/>
    <col min="11016" max="11016" width="16.42578125" style="41" bestFit="1" customWidth="1"/>
    <col min="11017" max="11017" width="13.42578125" style="41" bestFit="1" customWidth="1"/>
    <col min="11018" max="11018" width="16.42578125" style="41" bestFit="1" customWidth="1"/>
    <col min="11019" max="11019" width="11.42578125" style="41"/>
    <col min="11020" max="11020" width="18.42578125" style="41" bestFit="1" customWidth="1"/>
    <col min="11021" max="11021" width="11.42578125" style="41"/>
    <col min="11022" max="11022" width="14.42578125" style="41" bestFit="1" customWidth="1"/>
    <col min="11023" max="11030" width="11.42578125" style="41"/>
    <col min="11031" max="11031" width="18.42578125" style="41" bestFit="1" customWidth="1"/>
    <col min="11032" max="11265" width="11.42578125" style="41"/>
    <col min="11266" max="11266" width="5.42578125" style="41" customWidth="1"/>
    <col min="11267" max="11267" width="37" style="41" bestFit="1" customWidth="1"/>
    <col min="11268" max="11268" width="17.42578125" style="41" customWidth="1"/>
    <col min="11269" max="11269" width="11.42578125" style="41" bestFit="1" customWidth="1"/>
    <col min="11270" max="11270" width="12.85546875" style="41" bestFit="1" customWidth="1"/>
    <col min="11271" max="11271" width="7.5703125" style="41" bestFit="1" customWidth="1"/>
    <col min="11272" max="11272" width="16.42578125" style="41" bestFit="1" customWidth="1"/>
    <col min="11273" max="11273" width="13.42578125" style="41" bestFit="1" customWidth="1"/>
    <col min="11274" max="11274" width="16.42578125" style="41" bestFit="1" customWidth="1"/>
    <col min="11275" max="11275" width="11.42578125" style="41"/>
    <col min="11276" max="11276" width="18.42578125" style="41" bestFit="1" customWidth="1"/>
    <col min="11277" max="11277" width="11.42578125" style="41"/>
    <col min="11278" max="11278" width="14.42578125" style="41" bestFit="1" customWidth="1"/>
    <col min="11279" max="11286" width="11.42578125" style="41"/>
    <col min="11287" max="11287" width="18.42578125" style="41" bestFit="1" customWidth="1"/>
    <col min="11288" max="11521" width="11.42578125" style="41"/>
    <col min="11522" max="11522" width="5.42578125" style="41" customWidth="1"/>
    <col min="11523" max="11523" width="37" style="41" bestFit="1" customWidth="1"/>
    <col min="11524" max="11524" width="17.42578125" style="41" customWidth="1"/>
    <col min="11525" max="11525" width="11.42578125" style="41" bestFit="1" customWidth="1"/>
    <col min="11526" max="11526" width="12.85546875" style="41" bestFit="1" customWidth="1"/>
    <col min="11527" max="11527" width="7.5703125" style="41" bestFit="1" customWidth="1"/>
    <col min="11528" max="11528" width="16.42578125" style="41" bestFit="1" customWidth="1"/>
    <col min="11529" max="11529" width="13.42578125" style="41" bestFit="1" customWidth="1"/>
    <col min="11530" max="11530" width="16.42578125" style="41" bestFit="1" customWidth="1"/>
    <col min="11531" max="11531" width="11.42578125" style="41"/>
    <col min="11532" max="11532" width="18.42578125" style="41" bestFit="1" customWidth="1"/>
    <col min="11533" max="11533" width="11.42578125" style="41"/>
    <col min="11534" max="11534" width="14.42578125" style="41" bestFit="1" customWidth="1"/>
    <col min="11535" max="11542" width="11.42578125" style="41"/>
    <col min="11543" max="11543" width="18.42578125" style="41" bestFit="1" customWidth="1"/>
    <col min="11544" max="11777" width="11.42578125" style="41"/>
    <col min="11778" max="11778" width="5.42578125" style="41" customWidth="1"/>
    <col min="11779" max="11779" width="37" style="41" bestFit="1" customWidth="1"/>
    <col min="11780" max="11780" width="17.42578125" style="41" customWidth="1"/>
    <col min="11781" max="11781" width="11.42578125" style="41" bestFit="1" customWidth="1"/>
    <col min="11782" max="11782" width="12.85546875" style="41" bestFit="1" customWidth="1"/>
    <col min="11783" max="11783" width="7.5703125" style="41" bestFit="1" customWidth="1"/>
    <col min="11784" max="11784" width="16.42578125" style="41" bestFit="1" customWidth="1"/>
    <col min="11785" max="11785" width="13.42578125" style="41" bestFit="1" customWidth="1"/>
    <col min="11786" max="11786" width="16.42578125" style="41" bestFit="1" customWidth="1"/>
    <col min="11787" max="11787" width="11.42578125" style="41"/>
    <col min="11788" max="11788" width="18.42578125" style="41" bestFit="1" customWidth="1"/>
    <col min="11789" max="11789" width="11.42578125" style="41"/>
    <col min="11790" max="11790" width="14.42578125" style="41" bestFit="1" customWidth="1"/>
    <col min="11791" max="11798" width="11.42578125" style="41"/>
    <col min="11799" max="11799" width="18.42578125" style="41" bestFit="1" customWidth="1"/>
    <col min="11800" max="12033" width="11.42578125" style="41"/>
    <col min="12034" max="12034" width="5.42578125" style="41" customWidth="1"/>
    <col min="12035" max="12035" width="37" style="41" bestFit="1" customWidth="1"/>
    <col min="12036" max="12036" width="17.42578125" style="41" customWidth="1"/>
    <col min="12037" max="12037" width="11.42578125" style="41" bestFit="1" customWidth="1"/>
    <col min="12038" max="12038" width="12.85546875" style="41" bestFit="1" customWidth="1"/>
    <col min="12039" max="12039" width="7.5703125" style="41" bestFit="1" customWidth="1"/>
    <col min="12040" max="12040" width="16.42578125" style="41" bestFit="1" customWidth="1"/>
    <col min="12041" max="12041" width="13.42578125" style="41" bestFit="1" customWidth="1"/>
    <col min="12042" max="12042" width="16.42578125" style="41" bestFit="1" customWidth="1"/>
    <col min="12043" max="12043" width="11.42578125" style="41"/>
    <col min="12044" max="12044" width="18.42578125" style="41" bestFit="1" customWidth="1"/>
    <col min="12045" max="12045" width="11.42578125" style="41"/>
    <col min="12046" max="12046" width="14.42578125" style="41" bestFit="1" customWidth="1"/>
    <col min="12047" max="12054" width="11.42578125" style="41"/>
    <col min="12055" max="12055" width="18.42578125" style="41" bestFit="1" customWidth="1"/>
    <col min="12056" max="12289" width="11.42578125" style="41"/>
    <col min="12290" max="12290" width="5.42578125" style="41" customWidth="1"/>
    <col min="12291" max="12291" width="37" style="41" bestFit="1" customWidth="1"/>
    <col min="12292" max="12292" width="17.42578125" style="41" customWidth="1"/>
    <col min="12293" max="12293" width="11.42578125" style="41" bestFit="1" customWidth="1"/>
    <col min="12294" max="12294" width="12.85546875" style="41" bestFit="1" customWidth="1"/>
    <col min="12295" max="12295" width="7.5703125" style="41" bestFit="1" customWidth="1"/>
    <col min="12296" max="12296" width="16.42578125" style="41" bestFit="1" customWidth="1"/>
    <col min="12297" max="12297" width="13.42578125" style="41" bestFit="1" customWidth="1"/>
    <col min="12298" max="12298" width="16.42578125" style="41" bestFit="1" customWidth="1"/>
    <col min="12299" max="12299" width="11.42578125" style="41"/>
    <col min="12300" max="12300" width="18.42578125" style="41" bestFit="1" customWidth="1"/>
    <col min="12301" max="12301" width="11.42578125" style="41"/>
    <col min="12302" max="12302" width="14.42578125" style="41" bestFit="1" customWidth="1"/>
    <col min="12303" max="12310" width="11.42578125" style="41"/>
    <col min="12311" max="12311" width="18.42578125" style="41" bestFit="1" customWidth="1"/>
    <col min="12312" max="12545" width="11.42578125" style="41"/>
    <col min="12546" max="12546" width="5.42578125" style="41" customWidth="1"/>
    <col min="12547" max="12547" width="37" style="41" bestFit="1" customWidth="1"/>
    <col min="12548" max="12548" width="17.42578125" style="41" customWidth="1"/>
    <col min="12549" max="12549" width="11.42578125" style="41" bestFit="1" customWidth="1"/>
    <col min="12550" max="12550" width="12.85546875" style="41" bestFit="1" customWidth="1"/>
    <col min="12551" max="12551" width="7.5703125" style="41" bestFit="1" customWidth="1"/>
    <col min="12552" max="12552" width="16.42578125" style="41" bestFit="1" customWidth="1"/>
    <col min="12553" max="12553" width="13.42578125" style="41" bestFit="1" customWidth="1"/>
    <col min="12554" max="12554" width="16.42578125" style="41" bestFit="1" customWidth="1"/>
    <col min="12555" max="12555" width="11.42578125" style="41"/>
    <col min="12556" max="12556" width="18.42578125" style="41" bestFit="1" customWidth="1"/>
    <col min="12557" max="12557" width="11.42578125" style="41"/>
    <col min="12558" max="12558" width="14.42578125" style="41" bestFit="1" customWidth="1"/>
    <col min="12559" max="12566" width="11.42578125" style="41"/>
    <col min="12567" max="12567" width="18.42578125" style="41" bestFit="1" customWidth="1"/>
    <col min="12568" max="12801" width="11.42578125" style="41"/>
    <col min="12802" max="12802" width="5.42578125" style="41" customWidth="1"/>
    <col min="12803" max="12803" width="37" style="41" bestFit="1" customWidth="1"/>
    <col min="12804" max="12804" width="17.42578125" style="41" customWidth="1"/>
    <col min="12805" max="12805" width="11.42578125" style="41" bestFit="1" customWidth="1"/>
    <col min="12806" max="12806" width="12.85546875" style="41" bestFit="1" customWidth="1"/>
    <col min="12807" max="12807" width="7.5703125" style="41" bestFit="1" customWidth="1"/>
    <col min="12808" max="12808" width="16.42578125" style="41" bestFit="1" customWidth="1"/>
    <col min="12809" max="12809" width="13.42578125" style="41" bestFit="1" customWidth="1"/>
    <col min="12810" max="12810" width="16.42578125" style="41" bestFit="1" customWidth="1"/>
    <col min="12811" max="12811" width="11.42578125" style="41"/>
    <col min="12812" max="12812" width="18.42578125" style="41" bestFit="1" customWidth="1"/>
    <col min="12813" max="12813" width="11.42578125" style="41"/>
    <col min="12814" max="12814" width="14.42578125" style="41" bestFit="1" customWidth="1"/>
    <col min="12815" max="12822" width="11.42578125" style="41"/>
    <col min="12823" max="12823" width="18.42578125" style="41" bestFit="1" customWidth="1"/>
    <col min="12824" max="13057" width="11.42578125" style="41"/>
    <col min="13058" max="13058" width="5.42578125" style="41" customWidth="1"/>
    <col min="13059" max="13059" width="37" style="41" bestFit="1" customWidth="1"/>
    <col min="13060" max="13060" width="17.42578125" style="41" customWidth="1"/>
    <col min="13061" max="13061" width="11.42578125" style="41" bestFit="1" customWidth="1"/>
    <col min="13062" max="13062" width="12.85546875" style="41" bestFit="1" customWidth="1"/>
    <col min="13063" max="13063" width="7.5703125" style="41" bestFit="1" customWidth="1"/>
    <col min="13064" max="13064" width="16.42578125" style="41" bestFit="1" customWidth="1"/>
    <col min="13065" max="13065" width="13.42578125" style="41" bestFit="1" customWidth="1"/>
    <col min="13066" max="13066" width="16.42578125" style="41" bestFit="1" customWidth="1"/>
    <col min="13067" max="13067" width="11.42578125" style="41"/>
    <col min="13068" max="13068" width="18.42578125" style="41" bestFit="1" customWidth="1"/>
    <col min="13069" max="13069" width="11.42578125" style="41"/>
    <col min="13070" max="13070" width="14.42578125" style="41" bestFit="1" customWidth="1"/>
    <col min="13071" max="13078" width="11.42578125" style="41"/>
    <col min="13079" max="13079" width="18.42578125" style="41" bestFit="1" customWidth="1"/>
    <col min="13080" max="13313" width="11.42578125" style="41"/>
    <col min="13314" max="13314" width="5.42578125" style="41" customWidth="1"/>
    <col min="13315" max="13315" width="37" style="41" bestFit="1" customWidth="1"/>
    <col min="13316" max="13316" width="17.42578125" style="41" customWidth="1"/>
    <col min="13317" max="13317" width="11.42578125" style="41" bestFit="1" customWidth="1"/>
    <col min="13318" max="13318" width="12.85546875" style="41" bestFit="1" customWidth="1"/>
    <col min="13319" max="13319" width="7.5703125" style="41" bestFit="1" customWidth="1"/>
    <col min="13320" max="13320" width="16.42578125" style="41" bestFit="1" customWidth="1"/>
    <col min="13321" max="13321" width="13.42578125" style="41" bestFit="1" customWidth="1"/>
    <col min="13322" max="13322" width="16.42578125" style="41" bestFit="1" customWidth="1"/>
    <col min="13323" max="13323" width="11.42578125" style="41"/>
    <col min="13324" max="13324" width="18.42578125" style="41" bestFit="1" customWidth="1"/>
    <col min="13325" max="13325" width="11.42578125" style="41"/>
    <col min="13326" max="13326" width="14.42578125" style="41" bestFit="1" customWidth="1"/>
    <col min="13327" max="13334" width="11.42578125" style="41"/>
    <col min="13335" max="13335" width="18.42578125" style="41" bestFit="1" customWidth="1"/>
    <col min="13336" max="13569" width="11.42578125" style="41"/>
    <col min="13570" max="13570" width="5.42578125" style="41" customWidth="1"/>
    <col min="13571" max="13571" width="37" style="41" bestFit="1" customWidth="1"/>
    <col min="13572" max="13572" width="17.42578125" style="41" customWidth="1"/>
    <col min="13573" max="13573" width="11.42578125" style="41" bestFit="1" customWidth="1"/>
    <col min="13574" max="13574" width="12.85546875" style="41" bestFit="1" customWidth="1"/>
    <col min="13575" max="13575" width="7.5703125" style="41" bestFit="1" customWidth="1"/>
    <col min="13576" max="13576" width="16.42578125" style="41" bestFit="1" customWidth="1"/>
    <col min="13577" max="13577" width="13.42578125" style="41" bestFit="1" customWidth="1"/>
    <col min="13578" max="13578" width="16.42578125" style="41" bestFit="1" customWidth="1"/>
    <col min="13579" max="13579" width="11.42578125" style="41"/>
    <col min="13580" max="13580" width="18.42578125" style="41" bestFit="1" customWidth="1"/>
    <col min="13581" max="13581" width="11.42578125" style="41"/>
    <col min="13582" max="13582" width="14.42578125" style="41" bestFit="1" customWidth="1"/>
    <col min="13583" max="13590" width="11.42578125" style="41"/>
    <col min="13591" max="13591" width="18.42578125" style="41" bestFit="1" customWidth="1"/>
    <col min="13592" max="13825" width="11.42578125" style="41"/>
    <col min="13826" max="13826" width="5.42578125" style="41" customWidth="1"/>
    <col min="13827" max="13827" width="37" style="41" bestFit="1" customWidth="1"/>
    <col min="13828" max="13828" width="17.42578125" style="41" customWidth="1"/>
    <col min="13829" max="13829" width="11.42578125" style="41" bestFit="1" customWidth="1"/>
    <col min="13830" max="13830" width="12.85546875" style="41" bestFit="1" customWidth="1"/>
    <col min="13831" max="13831" width="7.5703125" style="41" bestFit="1" customWidth="1"/>
    <col min="13832" max="13832" width="16.42578125" style="41" bestFit="1" customWidth="1"/>
    <col min="13833" max="13833" width="13.42578125" style="41" bestFit="1" customWidth="1"/>
    <col min="13834" max="13834" width="16.42578125" style="41" bestFit="1" customWidth="1"/>
    <col min="13835" max="13835" width="11.42578125" style="41"/>
    <col min="13836" max="13836" width="18.42578125" style="41" bestFit="1" customWidth="1"/>
    <col min="13837" max="13837" width="11.42578125" style="41"/>
    <col min="13838" max="13838" width="14.42578125" style="41" bestFit="1" customWidth="1"/>
    <col min="13839" max="13846" width="11.42578125" style="41"/>
    <col min="13847" max="13847" width="18.42578125" style="41" bestFit="1" customWidth="1"/>
    <col min="13848" max="14081" width="11.42578125" style="41"/>
    <col min="14082" max="14082" width="5.42578125" style="41" customWidth="1"/>
    <col min="14083" max="14083" width="37" style="41" bestFit="1" customWidth="1"/>
    <col min="14084" max="14084" width="17.42578125" style="41" customWidth="1"/>
    <col min="14085" max="14085" width="11.42578125" style="41" bestFit="1" customWidth="1"/>
    <col min="14086" max="14086" width="12.85546875" style="41" bestFit="1" customWidth="1"/>
    <col min="14087" max="14087" width="7.5703125" style="41" bestFit="1" customWidth="1"/>
    <col min="14088" max="14088" width="16.42578125" style="41" bestFit="1" customWidth="1"/>
    <col min="14089" max="14089" width="13.42578125" style="41" bestFit="1" customWidth="1"/>
    <col min="14090" max="14090" width="16.42578125" style="41" bestFit="1" customWidth="1"/>
    <col min="14091" max="14091" width="11.42578125" style="41"/>
    <col min="14092" max="14092" width="18.42578125" style="41" bestFit="1" customWidth="1"/>
    <col min="14093" max="14093" width="11.42578125" style="41"/>
    <col min="14094" max="14094" width="14.42578125" style="41" bestFit="1" customWidth="1"/>
    <col min="14095" max="14102" width="11.42578125" style="41"/>
    <col min="14103" max="14103" width="18.42578125" style="41" bestFit="1" customWidth="1"/>
    <col min="14104" max="14337" width="11.42578125" style="41"/>
    <col min="14338" max="14338" width="5.42578125" style="41" customWidth="1"/>
    <col min="14339" max="14339" width="37" style="41" bestFit="1" customWidth="1"/>
    <col min="14340" max="14340" width="17.42578125" style="41" customWidth="1"/>
    <col min="14341" max="14341" width="11.42578125" style="41" bestFit="1" customWidth="1"/>
    <col min="14342" max="14342" width="12.85546875" style="41" bestFit="1" customWidth="1"/>
    <col min="14343" max="14343" width="7.5703125" style="41" bestFit="1" customWidth="1"/>
    <col min="14344" max="14344" width="16.42578125" style="41" bestFit="1" customWidth="1"/>
    <col min="14345" max="14345" width="13.42578125" style="41" bestFit="1" customWidth="1"/>
    <col min="14346" max="14346" width="16.42578125" style="41" bestFit="1" customWidth="1"/>
    <col min="14347" max="14347" width="11.42578125" style="41"/>
    <col min="14348" max="14348" width="18.42578125" style="41" bestFit="1" customWidth="1"/>
    <col min="14349" max="14349" width="11.42578125" style="41"/>
    <col min="14350" max="14350" width="14.42578125" style="41" bestFit="1" customWidth="1"/>
    <col min="14351" max="14358" width="11.42578125" style="41"/>
    <col min="14359" max="14359" width="18.42578125" style="41" bestFit="1" customWidth="1"/>
    <col min="14360" max="14593" width="11.42578125" style="41"/>
    <col min="14594" max="14594" width="5.42578125" style="41" customWidth="1"/>
    <col min="14595" max="14595" width="37" style="41" bestFit="1" customWidth="1"/>
    <col min="14596" max="14596" width="17.42578125" style="41" customWidth="1"/>
    <col min="14597" max="14597" width="11.42578125" style="41" bestFit="1" customWidth="1"/>
    <col min="14598" max="14598" width="12.85546875" style="41" bestFit="1" customWidth="1"/>
    <col min="14599" max="14599" width="7.5703125" style="41" bestFit="1" customWidth="1"/>
    <col min="14600" max="14600" width="16.42578125" style="41" bestFit="1" customWidth="1"/>
    <col min="14601" max="14601" width="13.42578125" style="41" bestFit="1" customWidth="1"/>
    <col min="14602" max="14602" width="16.42578125" style="41" bestFit="1" customWidth="1"/>
    <col min="14603" max="14603" width="11.42578125" style="41"/>
    <col min="14604" max="14604" width="18.42578125" style="41" bestFit="1" customWidth="1"/>
    <col min="14605" max="14605" width="11.42578125" style="41"/>
    <col min="14606" max="14606" width="14.42578125" style="41" bestFit="1" customWidth="1"/>
    <col min="14607" max="14614" width="11.42578125" style="41"/>
    <col min="14615" max="14615" width="18.42578125" style="41" bestFit="1" customWidth="1"/>
    <col min="14616" max="14849" width="11.42578125" style="41"/>
    <col min="14850" max="14850" width="5.42578125" style="41" customWidth="1"/>
    <col min="14851" max="14851" width="37" style="41" bestFit="1" customWidth="1"/>
    <col min="14852" max="14852" width="17.42578125" style="41" customWidth="1"/>
    <col min="14853" max="14853" width="11.42578125" style="41" bestFit="1" customWidth="1"/>
    <col min="14854" max="14854" width="12.85546875" style="41" bestFit="1" customWidth="1"/>
    <col min="14855" max="14855" width="7.5703125" style="41" bestFit="1" customWidth="1"/>
    <col min="14856" max="14856" width="16.42578125" style="41" bestFit="1" customWidth="1"/>
    <col min="14857" max="14857" width="13.42578125" style="41" bestFit="1" customWidth="1"/>
    <col min="14858" max="14858" width="16.42578125" style="41" bestFit="1" customWidth="1"/>
    <col min="14859" max="14859" width="11.42578125" style="41"/>
    <col min="14860" max="14860" width="18.42578125" style="41" bestFit="1" customWidth="1"/>
    <col min="14861" max="14861" width="11.42578125" style="41"/>
    <col min="14862" max="14862" width="14.42578125" style="41" bestFit="1" customWidth="1"/>
    <col min="14863" max="14870" width="11.42578125" style="41"/>
    <col min="14871" max="14871" width="18.42578125" style="41" bestFit="1" customWidth="1"/>
    <col min="14872" max="15105" width="11.42578125" style="41"/>
    <col min="15106" max="15106" width="5.42578125" style="41" customWidth="1"/>
    <col min="15107" max="15107" width="37" style="41" bestFit="1" customWidth="1"/>
    <col min="15108" max="15108" width="17.42578125" style="41" customWidth="1"/>
    <col min="15109" max="15109" width="11.42578125" style="41" bestFit="1" customWidth="1"/>
    <col min="15110" max="15110" width="12.85546875" style="41" bestFit="1" customWidth="1"/>
    <col min="15111" max="15111" width="7.5703125" style="41" bestFit="1" customWidth="1"/>
    <col min="15112" max="15112" width="16.42578125" style="41" bestFit="1" customWidth="1"/>
    <col min="15113" max="15113" width="13.42578125" style="41" bestFit="1" customWidth="1"/>
    <col min="15114" max="15114" width="16.42578125" style="41" bestFit="1" customWidth="1"/>
    <col min="15115" max="15115" width="11.42578125" style="41"/>
    <col min="15116" max="15116" width="18.42578125" style="41" bestFit="1" customWidth="1"/>
    <col min="15117" max="15117" width="11.42578125" style="41"/>
    <col min="15118" max="15118" width="14.42578125" style="41" bestFit="1" customWidth="1"/>
    <col min="15119" max="15126" width="11.42578125" style="41"/>
    <col min="15127" max="15127" width="18.42578125" style="41" bestFit="1" customWidth="1"/>
    <col min="15128" max="15361" width="11.42578125" style="41"/>
    <col min="15362" max="15362" width="5.42578125" style="41" customWidth="1"/>
    <col min="15363" max="15363" width="37" style="41" bestFit="1" customWidth="1"/>
    <col min="15364" max="15364" width="17.42578125" style="41" customWidth="1"/>
    <col min="15365" max="15365" width="11.42578125" style="41" bestFit="1" customWidth="1"/>
    <col min="15366" max="15366" width="12.85546875" style="41" bestFit="1" customWidth="1"/>
    <col min="15367" max="15367" width="7.5703125" style="41" bestFit="1" customWidth="1"/>
    <col min="15368" max="15368" width="16.42578125" style="41" bestFit="1" customWidth="1"/>
    <col min="15369" max="15369" width="13.42578125" style="41" bestFit="1" customWidth="1"/>
    <col min="15370" max="15370" width="16.42578125" style="41" bestFit="1" customWidth="1"/>
    <col min="15371" max="15371" width="11.42578125" style="41"/>
    <col min="15372" max="15372" width="18.42578125" style="41" bestFit="1" customWidth="1"/>
    <col min="15373" max="15373" width="11.42578125" style="41"/>
    <col min="15374" max="15374" width="14.42578125" style="41" bestFit="1" customWidth="1"/>
    <col min="15375" max="15382" width="11.42578125" style="41"/>
    <col min="15383" max="15383" width="18.42578125" style="41" bestFit="1" customWidth="1"/>
    <col min="15384" max="15617" width="11.42578125" style="41"/>
    <col min="15618" max="15618" width="5.42578125" style="41" customWidth="1"/>
    <col min="15619" max="15619" width="37" style="41" bestFit="1" customWidth="1"/>
    <col min="15620" max="15620" width="17.42578125" style="41" customWidth="1"/>
    <col min="15621" max="15621" width="11.42578125" style="41" bestFit="1" customWidth="1"/>
    <col min="15622" max="15622" width="12.85546875" style="41" bestFit="1" customWidth="1"/>
    <col min="15623" max="15623" width="7.5703125" style="41" bestFit="1" customWidth="1"/>
    <col min="15624" max="15624" width="16.42578125" style="41" bestFit="1" customWidth="1"/>
    <col min="15625" max="15625" width="13.42578125" style="41" bestFit="1" customWidth="1"/>
    <col min="15626" max="15626" width="16.42578125" style="41" bestFit="1" customWidth="1"/>
    <col min="15627" max="15627" width="11.42578125" style="41"/>
    <col min="15628" max="15628" width="18.42578125" style="41" bestFit="1" customWidth="1"/>
    <col min="15629" max="15629" width="11.42578125" style="41"/>
    <col min="15630" max="15630" width="14.42578125" style="41" bestFit="1" customWidth="1"/>
    <col min="15631" max="15638" width="11.42578125" style="41"/>
    <col min="15639" max="15639" width="18.42578125" style="41" bestFit="1" customWidth="1"/>
    <col min="15640" max="15873" width="11.42578125" style="41"/>
    <col min="15874" max="15874" width="5.42578125" style="41" customWidth="1"/>
    <col min="15875" max="15875" width="37" style="41" bestFit="1" customWidth="1"/>
    <col min="15876" max="15876" width="17.42578125" style="41" customWidth="1"/>
    <col min="15877" max="15877" width="11.42578125" style="41" bestFit="1" customWidth="1"/>
    <col min="15878" max="15878" width="12.85546875" style="41" bestFit="1" customWidth="1"/>
    <col min="15879" max="15879" width="7.5703125" style="41" bestFit="1" customWidth="1"/>
    <col min="15880" max="15880" width="16.42578125" style="41" bestFit="1" customWidth="1"/>
    <col min="15881" max="15881" width="13.42578125" style="41" bestFit="1" customWidth="1"/>
    <col min="15882" max="15882" width="16.42578125" style="41" bestFit="1" customWidth="1"/>
    <col min="15883" max="15883" width="11.42578125" style="41"/>
    <col min="15884" max="15884" width="18.42578125" style="41" bestFit="1" customWidth="1"/>
    <col min="15885" max="15885" width="11.42578125" style="41"/>
    <col min="15886" max="15886" width="14.42578125" style="41" bestFit="1" customWidth="1"/>
    <col min="15887" max="15894" width="11.42578125" style="41"/>
    <col min="15895" max="15895" width="18.42578125" style="41" bestFit="1" customWidth="1"/>
    <col min="15896" max="16129" width="11.42578125" style="41"/>
    <col min="16130" max="16130" width="5.42578125" style="41" customWidth="1"/>
    <col min="16131" max="16131" width="37" style="41" bestFit="1" customWidth="1"/>
    <col min="16132" max="16132" width="17.42578125" style="41" customWidth="1"/>
    <col min="16133" max="16133" width="11.42578125" style="41" bestFit="1" customWidth="1"/>
    <col min="16134" max="16134" width="12.85546875" style="41" bestFit="1" customWidth="1"/>
    <col min="16135" max="16135" width="7.5703125" style="41" bestFit="1" customWidth="1"/>
    <col min="16136" max="16136" width="16.42578125" style="41" bestFit="1" customWidth="1"/>
    <col min="16137" max="16137" width="13.42578125" style="41" bestFit="1" customWidth="1"/>
    <col min="16138" max="16138" width="16.42578125" style="41" bestFit="1" customWidth="1"/>
    <col min="16139" max="16139" width="11.42578125" style="41"/>
    <col min="16140" max="16140" width="18.42578125" style="41" bestFit="1" customWidth="1"/>
    <col min="16141" max="16141" width="11.42578125" style="41"/>
    <col min="16142" max="16142" width="14.42578125" style="41" bestFit="1" customWidth="1"/>
    <col min="16143" max="16150" width="11.42578125" style="41"/>
    <col min="16151" max="16151" width="18.42578125" style="41" bestFit="1" customWidth="1"/>
    <col min="16152" max="16384" width="11.42578125" style="41"/>
  </cols>
  <sheetData>
    <row r="1" spans="1:21" ht="14.25" thickBot="1" x14ac:dyDescent="0.3"/>
    <row r="2" spans="1:21" ht="20.25" customHeight="1" x14ac:dyDescent="0.25">
      <c r="A2" s="47"/>
      <c r="B2" s="565" t="s">
        <v>171</v>
      </c>
      <c r="C2" s="566"/>
      <c r="D2" s="566"/>
      <c r="E2" s="566"/>
      <c r="F2" s="566"/>
      <c r="G2" s="566"/>
      <c r="H2" s="566"/>
      <c r="I2" s="566"/>
      <c r="J2" s="566"/>
      <c r="K2" s="566"/>
      <c r="L2" s="566"/>
      <c r="M2" s="566"/>
      <c r="N2" s="566"/>
      <c r="O2" s="566"/>
      <c r="P2" s="566"/>
      <c r="Q2" s="567"/>
      <c r="R2" s="47"/>
    </row>
    <row r="3" spans="1:21" ht="15.75" customHeight="1" thickBot="1" x14ac:dyDescent="0.3">
      <c r="A3" s="47"/>
      <c r="B3" s="568"/>
      <c r="C3" s="569"/>
      <c r="D3" s="569"/>
      <c r="E3" s="569"/>
      <c r="F3" s="569"/>
      <c r="G3" s="569"/>
      <c r="H3" s="569"/>
      <c r="I3" s="569"/>
      <c r="J3" s="569"/>
      <c r="K3" s="569"/>
      <c r="L3" s="569"/>
      <c r="M3" s="569"/>
      <c r="N3" s="569"/>
      <c r="O3" s="569"/>
      <c r="P3" s="569"/>
      <c r="Q3" s="570"/>
      <c r="R3" s="47"/>
    </row>
    <row r="4" spans="1:21" ht="16.5" customHeight="1" thickBot="1" x14ac:dyDescent="0.3">
      <c r="A4" s="47"/>
      <c r="B4" s="568" t="s">
        <v>123</v>
      </c>
      <c r="C4" s="569"/>
      <c r="D4" s="569"/>
      <c r="E4" s="569"/>
      <c r="F4" s="569"/>
      <c r="G4" s="569"/>
      <c r="H4" s="569"/>
      <c r="I4" s="569"/>
      <c r="J4" s="569"/>
      <c r="K4" s="569"/>
      <c r="L4" s="569"/>
      <c r="M4" s="569"/>
      <c r="N4" s="569"/>
      <c r="O4" s="569"/>
      <c r="P4" s="569"/>
      <c r="Q4" s="569"/>
      <c r="R4" s="47"/>
    </row>
    <row r="5" spans="1:21" ht="16.5" thickBot="1" x14ac:dyDescent="0.3">
      <c r="A5" s="47"/>
      <c r="B5" s="238"/>
      <c r="C5" s="239"/>
      <c r="D5" s="605" t="s">
        <v>30</v>
      </c>
      <c r="E5" s="605"/>
      <c r="F5" s="605"/>
      <c r="G5" s="605"/>
      <c r="H5" s="605"/>
      <c r="I5" s="605"/>
      <c r="J5" s="606"/>
      <c r="K5" s="581" t="s">
        <v>31</v>
      </c>
      <c r="L5" s="581"/>
      <c r="M5" s="581"/>
      <c r="N5" s="581"/>
      <c r="O5" s="581"/>
      <c r="P5" s="581"/>
      <c r="Q5" s="582"/>
      <c r="R5" s="47"/>
    </row>
    <row r="6" spans="1:21" s="53" customFormat="1" ht="24.75" customHeight="1" thickBot="1" x14ac:dyDescent="0.3">
      <c r="A6" s="48"/>
      <c r="B6" s="600" t="s">
        <v>78</v>
      </c>
      <c r="C6" s="602" t="s">
        <v>79</v>
      </c>
      <c r="D6" s="49" t="s">
        <v>80</v>
      </c>
      <c r="E6" s="49" t="s">
        <v>81</v>
      </c>
      <c r="F6" s="49" t="s">
        <v>82</v>
      </c>
      <c r="G6" s="49" t="s">
        <v>83</v>
      </c>
      <c r="H6" s="50" t="s">
        <v>84</v>
      </c>
      <c r="I6" s="51" t="s">
        <v>85</v>
      </c>
      <c r="J6" s="52" t="s">
        <v>86</v>
      </c>
      <c r="K6" s="289" t="s">
        <v>80</v>
      </c>
      <c r="L6" s="289" t="s">
        <v>81</v>
      </c>
      <c r="M6" s="289" t="s">
        <v>82</v>
      </c>
      <c r="N6" s="289" t="s">
        <v>83</v>
      </c>
      <c r="O6" s="290" t="s">
        <v>84</v>
      </c>
      <c r="P6" s="291" t="s">
        <v>85</v>
      </c>
      <c r="Q6" s="292" t="s">
        <v>86</v>
      </c>
      <c r="R6" s="48"/>
    </row>
    <row r="7" spans="1:21" s="53" customFormat="1" ht="39.75" customHeight="1" thickBot="1" x14ac:dyDescent="0.3">
      <c r="A7" s="48"/>
      <c r="B7" s="601"/>
      <c r="C7" s="603"/>
      <c r="D7" s="54" t="s">
        <v>87</v>
      </c>
      <c r="E7" s="54" t="s">
        <v>172</v>
      </c>
      <c r="F7" s="54" t="s">
        <v>88</v>
      </c>
      <c r="G7" s="54" t="s">
        <v>89</v>
      </c>
      <c r="H7" s="55" t="s">
        <v>90</v>
      </c>
      <c r="I7" s="56" t="s">
        <v>173</v>
      </c>
      <c r="J7" s="57" t="s">
        <v>174</v>
      </c>
      <c r="K7" s="209" t="s">
        <v>87</v>
      </c>
      <c r="L7" s="209" t="s">
        <v>172</v>
      </c>
      <c r="M7" s="209" t="s">
        <v>88</v>
      </c>
      <c r="N7" s="209" t="s">
        <v>89</v>
      </c>
      <c r="O7" s="210" t="s">
        <v>90</v>
      </c>
      <c r="P7" s="211" t="s">
        <v>173</v>
      </c>
      <c r="Q7" s="212" t="s">
        <v>174</v>
      </c>
      <c r="R7" s="48"/>
    </row>
    <row r="8" spans="1:21" s="65" customFormat="1" ht="12.75" x14ac:dyDescent="0.25">
      <c r="A8" s="58"/>
      <c r="B8" s="59">
        <v>1</v>
      </c>
      <c r="C8" s="60" t="s">
        <v>93</v>
      </c>
      <c r="D8" s="60"/>
      <c r="E8" s="60"/>
      <c r="F8" s="61"/>
      <c r="G8" s="61"/>
      <c r="H8" s="62"/>
      <c r="I8" s="63"/>
      <c r="J8" s="64"/>
      <c r="K8" s="60"/>
      <c r="L8" s="60"/>
      <c r="M8" s="61"/>
      <c r="N8" s="61"/>
      <c r="O8" s="62"/>
      <c r="P8" s="63"/>
      <c r="Q8" s="64"/>
      <c r="R8" s="58"/>
    </row>
    <row r="9" spans="1:21" s="65" customFormat="1" ht="12.75" x14ac:dyDescent="0.25">
      <c r="A9" s="58"/>
      <c r="B9" s="66">
        <v>1.1000000000000001</v>
      </c>
      <c r="C9" s="67" t="s">
        <v>94</v>
      </c>
      <c r="D9" s="67"/>
      <c r="E9" s="67"/>
      <c r="F9" s="68"/>
      <c r="G9" s="69"/>
      <c r="H9" s="70"/>
      <c r="I9" s="71"/>
      <c r="J9" s="72"/>
      <c r="K9" s="67"/>
      <c r="L9" s="67"/>
      <c r="M9" s="68"/>
      <c r="N9" s="69"/>
      <c r="O9" s="70"/>
      <c r="P9" s="71"/>
      <c r="Q9" s="72"/>
      <c r="R9" s="58"/>
    </row>
    <row r="10" spans="1:21" s="53" customFormat="1" ht="12.75" x14ac:dyDescent="0.25">
      <c r="A10" s="48"/>
      <c r="B10" s="240" t="s">
        <v>95</v>
      </c>
      <c r="C10" s="241" t="s">
        <v>124</v>
      </c>
      <c r="D10" s="213">
        <v>3500000</v>
      </c>
      <c r="E10" s="295">
        <v>1</v>
      </c>
      <c r="F10" s="293">
        <v>0.5</v>
      </c>
      <c r="G10" s="285">
        <f>+INTERVENTORIA!G10</f>
        <v>1.89</v>
      </c>
      <c r="H10" s="244">
        <f>ROUND(D10*E10*F10*G10,0)</f>
        <v>3307500</v>
      </c>
      <c r="I10" s="295">
        <v>10</v>
      </c>
      <c r="J10" s="245">
        <f>(H10*I10)</f>
        <v>33075000</v>
      </c>
      <c r="K10" s="213">
        <v>6800000</v>
      </c>
      <c r="L10" s="295">
        <v>1</v>
      </c>
      <c r="M10" s="293">
        <v>0.5</v>
      </c>
      <c r="N10" s="487">
        <v>2.4</v>
      </c>
      <c r="O10" s="244">
        <f>ROUND(K10*L10*M10*N10,0)</f>
        <v>8160000</v>
      </c>
      <c r="P10" s="295">
        <v>10</v>
      </c>
      <c r="Q10" s="245">
        <f>(O10*P10)</f>
        <v>81600000</v>
      </c>
      <c r="R10" s="75">
        <v>3500000</v>
      </c>
    </row>
    <row r="11" spans="1:21" s="53" customFormat="1" ht="12.75" x14ac:dyDescent="0.25">
      <c r="A11" s="48"/>
      <c r="B11" s="240"/>
      <c r="C11" s="241"/>
      <c r="D11" s="213"/>
      <c r="E11" s="242"/>
      <c r="F11" s="293"/>
      <c r="G11" s="243"/>
      <c r="H11" s="244"/>
      <c r="I11" s="295"/>
      <c r="J11" s="245"/>
      <c r="K11" s="213"/>
      <c r="L11" s="242"/>
      <c r="M11" s="293"/>
      <c r="N11" s="243"/>
      <c r="O11" s="244"/>
      <c r="P11" s="244"/>
      <c r="Q11" s="245"/>
      <c r="R11" s="75"/>
    </row>
    <row r="12" spans="1:21" s="65" customFormat="1" ht="12.75" x14ac:dyDescent="0.25">
      <c r="A12" s="58"/>
      <c r="B12" s="246">
        <v>1.3</v>
      </c>
      <c r="C12" s="247" t="s">
        <v>101</v>
      </c>
      <c r="D12" s="242"/>
      <c r="E12" s="242"/>
      <c r="F12" s="293"/>
      <c r="G12" s="243"/>
      <c r="H12" s="244"/>
      <c r="I12" s="295"/>
      <c r="J12" s="245"/>
      <c r="K12" s="242"/>
      <c r="L12" s="242"/>
      <c r="M12" s="293"/>
      <c r="N12" s="243"/>
      <c r="O12" s="244"/>
      <c r="P12" s="244"/>
      <c r="Q12" s="245"/>
      <c r="R12" s="76"/>
    </row>
    <row r="13" spans="1:21" s="53" customFormat="1" ht="12.75" x14ac:dyDescent="0.25">
      <c r="A13" s="48"/>
      <c r="B13" s="240" t="s">
        <v>102</v>
      </c>
      <c r="C13" s="248" t="s">
        <v>125</v>
      </c>
      <c r="D13" s="213">
        <v>1300000</v>
      </c>
      <c r="E13" s="295">
        <v>1</v>
      </c>
      <c r="F13" s="293">
        <v>1</v>
      </c>
      <c r="G13" s="285">
        <f>+G10</f>
        <v>1.89</v>
      </c>
      <c r="H13" s="244">
        <f>ROUND(D13*E13*F13*G13,0)</f>
        <v>2457000</v>
      </c>
      <c r="I13" s="295">
        <v>10</v>
      </c>
      <c r="J13" s="245">
        <f>+(H13*I13)</f>
        <v>24570000</v>
      </c>
      <c r="K13" s="213">
        <v>1300000</v>
      </c>
      <c r="L13" s="295">
        <v>1</v>
      </c>
      <c r="M13" s="293">
        <v>1</v>
      </c>
      <c r="N13" s="285">
        <f>+N10</f>
        <v>2.4</v>
      </c>
      <c r="O13" s="244">
        <f>ROUND(K13*L13*M13*N13,0)</f>
        <v>3120000</v>
      </c>
      <c r="P13" s="295">
        <v>10</v>
      </c>
      <c r="Q13" s="245">
        <f>+(O13*P13)</f>
        <v>31200000</v>
      </c>
      <c r="R13" s="75">
        <v>1300000</v>
      </c>
    </row>
    <row r="14" spans="1:21" s="53" customFormat="1" ht="12.75" x14ac:dyDescent="0.25">
      <c r="A14" s="48"/>
      <c r="B14" s="249" t="s">
        <v>126</v>
      </c>
      <c r="C14" s="248" t="s">
        <v>127</v>
      </c>
      <c r="D14" s="213">
        <v>3500000</v>
      </c>
      <c r="E14" s="295">
        <v>1</v>
      </c>
      <c r="F14" s="293">
        <v>0.3</v>
      </c>
      <c r="G14" s="285">
        <f>+G10</f>
        <v>1.89</v>
      </c>
      <c r="H14" s="244">
        <f>ROUND(D14*E14*F14*G14,0)</f>
        <v>1984500</v>
      </c>
      <c r="I14" s="295">
        <v>7</v>
      </c>
      <c r="J14" s="250">
        <f>+(H14*I14)</f>
        <v>13891500</v>
      </c>
      <c r="K14" s="213">
        <v>5000000</v>
      </c>
      <c r="L14" s="295">
        <v>1</v>
      </c>
      <c r="M14" s="293">
        <v>0.3</v>
      </c>
      <c r="N14" s="285">
        <f>+N10</f>
        <v>2.4</v>
      </c>
      <c r="O14" s="244">
        <f>ROUND(K14*L14*M14*N14,0)</f>
        <v>3600000</v>
      </c>
      <c r="P14" s="295">
        <v>7</v>
      </c>
      <c r="Q14" s="250">
        <f>+(O14*P14)</f>
        <v>25200000</v>
      </c>
      <c r="R14" s="75">
        <v>3500000</v>
      </c>
    </row>
    <row r="15" spans="1:21" s="65" customFormat="1" ht="15.75" customHeight="1" x14ac:dyDescent="0.25">
      <c r="A15" s="58"/>
      <c r="B15" s="243"/>
      <c r="C15" s="591" t="s">
        <v>104</v>
      </c>
      <c r="D15" s="604"/>
      <c r="E15" s="604"/>
      <c r="F15" s="604"/>
      <c r="G15" s="604"/>
      <c r="H15" s="604"/>
      <c r="I15" s="604"/>
      <c r="J15" s="247">
        <f>SUM(J10:J14)</f>
        <v>71536500</v>
      </c>
      <c r="K15" s="286"/>
      <c r="L15" s="286"/>
      <c r="M15" s="286"/>
      <c r="N15" s="286"/>
      <c r="O15" s="286"/>
      <c r="P15"/>
      <c r="Q15" s="247">
        <f>SUM(Q10:Q14)</f>
        <v>138000000</v>
      </c>
      <c r="R15" s="83"/>
      <c r="S15" s="84"/>
      <c r="T15" s="84"/>
      <c r="U15" s="84"/>
    </row>
    <row r="16" spans="1:21" s="53" customFormat="1" ht="15" customHeight="1" x14ac:dyDescent="0.2">
      <c r="A16" s="48"/>
      <c r="B16" s="597" t="s">
        <v>105</v>
      </c>
      <c r="C16" s="598"/>
      <c r="D16" s="598"/>
      <c r="E16" s="598"/>
      <c r="F16" s="598"/>
      <c r="G16" s="598"/>
      <c r="H16" s="598"/>
      <c r="I16" s="598"/>
      <c r="J16" s="599"/>
      <c r="K16" s="287"/>
      <c r="L16" s="287"/>
      <c r="M16" s="287"/>
      <c r="N16" s="287"/>
      <c r="O16" s="287"/>
      <c r="P16" s="287"/>
      <c r="Q16" s="48"/>
      <c r="R16" s="48"/>
      <c r="S16" s="84"/>
      <c r="T16" s="84"/>
      <c r="U16" s="84"/>
    </row>
    <row r="17" spans="1:21" s="65" customFormat="1" ht="12.75" x14ac:dyDescent="0.2">
      <c r="A17" s="58"/>
      <c r="B17" s="246" t="s">
        <v>106</v>
      </c>
      <c r="C17" s="247" t="s">
        <v>105</v>
      </c>
      <c r="D17" s="243" t="s">
        <v>51</v>
      </c>
      <c r="E17" s="247"/>
      <c r="F17" s="243" t="s">
        <v>35</v>
      </c>
      <c r="G17" s="243"/>
      <c r="H17" s="251" t="s">
        <v>36</v>
      </c>
      <c r="I17" s="214"/>
      <c r="J17" s="252" t="s">
        <v>3</v>
      </c>
      <c r="K17" s="243" t="s">
        <v>51</v>
      </c>
      <c r="L17" s="247"/>
      <c r="M17" s="243" t="s">
        <v>35</v>
      </c>
      <c r="N17" s="243"/>
      <c r="O17" s="251" t="s">
        <v>36</v>
      </c>
      <c r="P17" s="214"/>
      <c r="Q17" s="252" t="s">
        <v>3</v>
      </c>
      <c r="R17" s="58"/>
      <c r="S17" s="84"/>
      <c r="T17" s="84"/>
      <c r="U17" s="84"/>
    </row>
    <row r="18" spans="1:21" s="65" customFormat="1" ht="25.5" x14ac:dyDescent="0.2">
      <c r="A18" s="58"/>
      <c r="B18" s="240" t="s">
        <v>128</v>
      </c>
      <c r="C18" s="253" t="s">
        <v>129</v>
      </c>
      <c r="D18" s="242" t="s">
        <v>130</v>
      </c>
      <c r="E18" s="247"/>
      <c r="F18" s="295">
        <v>5</v>
      </c>
      <c r="G18" s="243"/>
      <c r="H18" s="213">
        <v>100000</v>
      </c>
      <c r="I18" s="214"/>
      <c r="J18" s="215">
        <f>+H18*F18</f>
        <v>500000</v>
      </c>
      <c r="K18" s="242" t="s">
        <v>130</v>
      </c>
      <c r="L18" s="247"/>
      <c r="M18" s="295">
        <v>5</v>
      </c>
      <c r="N18" s="243"/>
      <c r="O18" s="213">
        <v>100000</v>
      </c>
      <c r="P18" s="214"/>
      <c r="Q18" s="215">
        <f>+O18*M18</f>
        <v>500000</v>
      </c>
      <c r="R18" s="58"/>
      <c r="S18" s="84"/>
      <c r="T18" s="84"/>
      <c r="U18" s="84"/>
    </row>
    <row r="19" spans="1:21" s="65" customFormat="1" ht="29.1" customHeight="1" x14ac:dyDescent="0.25">
      <c r="A19" s="58"/>
      <c r="B19" s="240" t="s">
        <v>131</v>
      </c>
      <c r="C19" s="253" t="s">
        <v>132</v>
      </c>
      <c r="D19" s="242" t="s">
        <v>109</v>
      </c>
      <c r="E19" s="247"/>
      <c r="F19" s="295">
        <v>5</v>
      </c>
      <c r="G19" s="243"/>
      <c r="H19" s="213">
        <v>120000</v>
      </c>
      <c r="I19" s="214"/>
      <c r="J19" s="215">
        <f>+(F19*H19)</f>
        <v>600000</v>
      </c>
      <c r="K19" s="242" t="s">
        <v>109</v>
      </c>
      <c r="L19" s="247"/>
      <c r="M19" s="295">
        <v>5</v>
      </c>
      <c r="N19" s="243"/>
      <c r="O19" s="213">
        <v>120000</v>
      </c>
      <c r="P19" s="214"/>
      <c r="Q19" s="215">
        <f>+(M19*O19)</f>
        <v>600000</v>
      </c>
      <c r="R19" s="58"/>
    </row>
    <row r="20" spans="1:21" s="65" customFormat="1" thickBot="1" x14ac:dyDescent="0.3">
      <c r="A20" s="58"/>
      <c r="B20" s="240" t="s">
        <v>133</v>
      </c>
      <c r="C20" s="254" t="s">
        <v>117</v>
      </c>
      <c r="D20" s="255" t="s">
        <v>130</v>
      </c>
      <c r="E20" s="256"/>
      <c r="F20" s="294">
        <v>3</v>
      </c>
      <c r="G20" s="257"/>
      <c r="H20" s="258">
        <v>1000000</v>
      </c>
      <c r="I20" s="217"/>
      <c r="J20" s="218">
        <f>+(H20*F20)</f>
        <v>3000000</v>
      </c>
      <c r="K20" s="255" t="s">
        <v>130</v>
      </c>
      <c r="L20" s="256"/>
      <c r="M20" s="294">
        <v>3</v>
      </c>
      <c r="N20" s="257"/>
      <c r="O20" s="258">
        <v>2000000</v>
      </c>
      <c r="P20" s="217"/>
      <c r="Q20" s="218">
        <f>+(O20*M20)</f>
        <v>6000000</v>
      </c>
      <c r="R20" s="130">
        <v>1000000</v>
      </c>
    </row>
    <row r="21" spans="1:21" s="65" customFormat="1" ht="15.75" customHeight="1" thickBot="1" x14ac:dyDescent="0.3">
      <c r="A21" s="58"/>
      <c r="B21" s="259"/>
      <c r="C21" s="583" t="s">
        <v>118</v>
      </c>
      <c r="D21" s="584"/>
      <c r="E21" s="584"/>
      <c r="F21" s="584"/>
      <c r="G21" s="584"/>
      <c r="H21" s="584"/>
      <c r="I21" s="585"/>
      <c r="J21" s="260">
        <f>SUM(J18:J20)</f>
        <v>4100000</v>
      </c>
      <c r="K21" s="297"/>
      <c r="L21" s="298"/>
      <c r="M21" s="298"/>
      <c r="N21" s="298"/>
      <c r="O21" s="298"/>
      <c r="P21" s="298"/>
      <c r="Q21" s="260">
        <f>SUM(Q18:Q20)</f>
        <v>7100000</v>
      </c>
      <c r="R21" s="58"/>
    </row>
    <row r="22" spans="1:21" s="53" customFormat="1" ht="15" customHeight="1" x14ac:dyDescent="0.2">
      <c r="A22" s="48"/>
      <c r="B22" s="586" t="s">
        <v>119</v>
      </c>
      <c r="C22" s="587"/>
      <c r="D22" s="587"/>
      <c r="E22" s="587"/>
      <c r="F22" s="587"/>
      <c r="G22" s="587"/>
      <c r="H22" s="587"/>
      <c r="I22" s="587"/>
      <c r="J22" s="588"/>
      <c r="K22" s="299"/>
      <c r="L22" s="287"/>
      <c r="M22" s="287"/>
      <c r="N22" s="287"/>
      <c r="O22" s="287"/>
      <c r="P22" s="287"/>
      <c r="Q22" s="300"/>
      <c r="R22" s="48"/>
      <c r="S22" s="84"/>
    </row>
    <row r="23" spans="1:21" s="53" customFormat="1" ht="15" customHeight="1" x14ac:dyDescent="0.25">
      <c r="A23" s="48"/>
      <c r="B23" s="240"/>
      <c r="C23" s="589" t="s">
        <v>120</v>
      </c>
      <c r="D23" s="590"/>
      <c r="E23" s="590"/>
      <c r="F23" s="590"/>
      <c r="G23" s="590"/>
      <c r="H23" s="590"/>
      <c r="I23" s="591"/>
      <c r="J23" s="215">
        <f>+(J21+J15)</f>
        <v>75636500</v>
      </c>
      <c r="K23" s="301"/>
      <c r="L23" s="288"/>
      <c r="M23" s="288"/>
      <c r="N23" s="288"/>
      <c r="O23" s="288"/>
      <c r="P23" s="288"/>
      <c r="Q23" s="215">
        <f>+(Q21+Q15)</f>
        <v>145100000</v>
      </c>
      <c r="R23" s="95"/>
      <c r="S23" s="96"/>
    </row>
    <row r="24" spans="1:21" s="53" customFormat="1" ht="15" customHeight="1" thickBot="1" x14ac:dyDescent="0.3">
      <c r="A24" s="48"/>
      <c r="B24" s="240"/>
      <c r="C24" s="589" t="s">
        <v>121</v>
      </c>
      <c r="D24" s="590"/>
      <c r="E24" s="590"/>
      <c r="F24" s="590"/>
      <c r="G24" s="590"/>
      <c r="H24" s="590"/>
      <c r="I24" s="591"/>
      <c r="J24" s="303">
        <f>+(J23*19%)</f>
        <v>14370935</v>
      </c>
      <c r="K24" s="301"/>
      <c r="L24" s="288"/>
      <c r="M24" s="288"/>
      <c r="N24" s="288"/>
      <c r="O24" s="288"/>
      <c r="P24" s="288"/>
      <c r="Q24" s="303">
        <f>+(Q23*19%)</f>
        <v>27569000</v>
      </c>
      <c r="R24" s="48"/>
    </row>
    <row r="25" spans="1:21" s="53" customFormat="1" ht="15" customHeight="1" thickBot="1" x14ac:dyDescent="0.3">
      <c r="A25" s="48"/>
      <c r="B25" s="261"/>
      <c r="C25" s="592" t="s">
        <v>122</v>
      </c>
      <c r="D25" s="593"/>
      <c r="E25" s="593"/>
      <c r="F25" s="593"/>
      <c r="G25" s="593"/>
      <c r="H25" s="593"/>
      <c r="I25" s="593"/>
      <c r="J25" s="304">
        <f>+J24+J23</f>
        <v>90007435</v>
      </c>
      <c r="K25" s="301"/>
      <c r="L25" s="288"/>
      <c r="M25" s="288"/>
      <c r="N25" s="288"/>
      <c r="O25" s="288"/>
      <c r="P25" s="288"/>
      <c r="Q25" s="304">
        <f>+Q24+Q23</f>
        <v>172669000</v>
      </c>
      <c r="R25" s="48"/>
    </row>
    <row r="26" spans="1:21" s="53" customFormat="1" ht="15.75" customHeight="1" thickTop="1" thickBot="1" x14ac:dyDescent="0.3">
      <c r="A26" s="48"/>
      <c r="B26" s="594"/>
      <c r="C26" s="595"/>
      <c r="D26" s="595"/>
      <c r="E26" s="595"/>
      <c r="F26" s="595"/>
      <c r="G26" s="595"/>
      <c r="H26" s="595"/>
      <c r="I26" s="595"/>
      <c r="J26" s="596"/>
      <c r="K26" s="229"/>
      <c r="L26" s="230"/>
      <c r="M26" s="230"/>
      <c r="N26" s="230"/>
      <c r="O26" s="230"/>
      <c r="P26" s="230"/>
      <c r="Q26" s="302"/>
      <c r="R26"/>
      <c r="S26"/>
      <c r="U26" s="98"/>
    </row>
    <row r="27" spans="1:21" s="48" customFormat="1" ht="12.75" x14ac:dyDescent="0.25">
      <c r="B27" s="262"/>
      <c r="C27" s="263"/>
      <c r="D27" s="264"/>
      <c r="E27" s="264"/>
      <c r="F27" s="264"/>
      <c r="G27" s="264"/>
      <c r="H27" s="265"/>
      <c r="I27" s="266"/>
      <c r="J27" s="264"/>
      <c r="K27" s="264"/>
      <c r="L27" s="264"/>
      <c r="M27" s="264"/>
      <c r="N27" s="264"/>
      <c r="O27" s="264"/>
      <c r="P27" s="264"/>
      <c r="T27" s="103"/>
    </row>
    <row r="28" spans="1:21" s="48" customFormat="1" ht="12.75" x14ac:dyDescent="0.25">
      <c r="B28" s="264"/>
      <c r="C28" s="264"/>
      <c r="D28" s="264"/>
      <c r="E28" s="264"/>
      <c r="F28" s="264"/>
      <c r="G28" s="264"/>
      <c r="H28" s="264"/>
      <c r="I28" s="296"/>
      <c r="J28" s="264"/>
      <c r="K28" s="264"/>
      <c r="L28" s="264"/>
      <c r="M28" s="264"/>
      <c r="N28" s="264"/>
      <c r="O28" s="264"/>
      <c r="P28" s="264"/>
    </row>
    <row r="29" spans="1:21" s="132" customFormat="1" ht="12.75" x14ac:dyDescent="0.25">
      <c r="A29" s="131"/>
      <c r="B29" s="262"/>
      <c r="C29" s="267"/>
      <c r="D29" s="264"/>
      <c r="E29" s="264"/>
      <c r="F29" s="264"/>
      <c r="G29" s="264"/>
      <c r="H29" s="265"/>
      <c r="I29" s="268"/>
      <c r="J29" s="269"/>
      <c r="K29" s="269"/>
      <c r="L29" s="269"/>
      <c r="M29" s="269"/>
      <c r="N29" s="269"/>
      <c r="O29" s="269"/>
      <c r="P29" s="269"/>
      <c r="Q29" s="48"/>
      <c r="R29" s="131"/>
    </row>
    <row r="30" spans="1:21" s="110" customFormat="1" ht="22.35" customHeight="1" x14ac:dyDescent="0.25">
      <c r="A30" s="104"/>
      <c r="B30" s="270"/>
      <c r="C30" s="267"/>
      <c r="D30" s="271"/>
      <c r="E30" s="271"/>
      <c r="F30" s="272"/>
      <c r="G30" s="272"/>
      <c r="H30" s="272"/>
      <c r="I30" s="273"/>
      <c r="J30" s="272"/>
      <c r="K30" s="272"/>
      <c r="L30" s="272"/>
      <c r="M30" s="272"/>
      <c r="N30" s="272"/>
      <c r="O30" s="272"/>
      <c r="P30" s="272"/>
      <c r="Q30" s="104"/>
      <c r="R30" s="104"/>
    </row>
    <row r="31" spans="1:21" s="110" customFormat="1" ht="12.75" x14ac:dyDescent="0.25">
      <c r="A31" s="104"/>
      <c r="B31" s="270"/>
      <c r="C31" s="274"/>
      <c r="D31" s="271"/>
      <c r="E31" s="271"/>
      <c r="F31" s="272"/>
      <c r="G31" s="272"/>
      <c r="H31" s="272"/>
      <c r="I31" s="272"/>
      <c r="J31" s="272"/>
      <c r="K31" s="272"/>
      <c r="L31" s="272"/>
      <c r="M31" s="272"/>
      <c r="N31" s="272"/>
      <c r="O31" s="272"/>
      <c r="P31" s="272"/>
      <c r="Q31" s="104"/>
      <c r="R31" s="104"/>
    </row>
    <row r="32" spans="1:21" s="110" customFormat="1" ht="15.75" x14ac:dyDescent="0.25">
      <c r="A32" s="104"/>
      <c r="B32" s="270"/>
      <c r="C32" s="275"/>
      <c r="D32" s="275"/>
      <c r="E32" s="276"/>
      <c r="F32" s="272"/>
      <c r="G32" s="272"/>
      <c r="H32" s="272"/>
      <c r="I32" s="272"/>
      <c r="J32" s="272"/>
      <c r="K32" s="272"/>
      <c r="L32" s="272"/>
      <c r="M32" s="272"/>
      <c r="N32" s="272"/>
      <c r="O32" s="272"/>
      <c r="P32" s="272"/>
      <c r="Q32" s="104"/>
      <c r="R32" s="104"/>
    </row>
    <row r="33" spans="1:25" s="110" customFormat="1" ht="17.25" x14ac:dyDescent="0.25">
      <c r="A33" s="104"/>
      <c r="B33" s="277"/>
      <c r="C33" s="278"/>
      <c r="D33" s="279"/>
      <c r="E33" s="280"/>
      <c r="F33" s="272"/>
      <c r="G33" s="272"/>
      <c r="H33" s="272"/>
      <c r="I33" s="272"/>
      <c r="J33" s="272"/>
      <c r="K33" s="272"/>
      <c r="L33" s="272"/>
      <c r="M33" s="272"/>
      <c r="N33" s="272"/>
      <c r="O33" s="272"/>
      <c r="P33" s="272"/>
      <c r="Q33" s="104"/>
      <c r="R33" s="104"/>
    </row>
    <row r="34" spans="1:25" s="110" customFormat="1" x14ac:dyDescent="0.2">
      <c r="A34" s="104"/>
      <c r="B34" s="277"/>
      <c r="C34" s="281"/>
      <c r="D34" s="282"/>
      <c r="E34" s="282"/>
      <c r="F34" s="272"/>
      <c r="G34" s="272"/>
      <c r="H34" s="272"/>
      <c r="I34" s="272"/>
      <c r="J34" s="272"/>
      <c r="K34" s="272"/>
      <c r="L34" s="272"/>
      <c r="M34" s="272"/>
      <c r="N34" s="272"/>
      <c r="O34" s="272"/>
      <c r="P34" s="272"/>
      <c r="Q34" s="104"/>
      <c r="R34" s="104"/>
    </row>
    <row r="35" spans="1:25" x14ac:dyDescent="0.2">
      <c r="A35" s="47"/>
      <c r="B35" s="277"/>
      <c r="C35" s="281"/>
      <c r="D35" s="282"/>
      <c r="E35" s="282"/>
      <c r="F35" s="282"/>
      <c r="G35" s="282"/>
      <c r="H35" s="283"/>
      <c r="I35" s="284"/>
      <c r="J35" s="282"/>
      <c r="K35" s="282"/>
      <c r="L35" s="282"/>
      <c r="M35" s="282"/>
      <c r="N35" s="282"/>
      <c r="O35" s="282"/>
      <c r="P35" s="282"/>
      <c r="Q35" s="47"/>
      <c r="R35" s="47"/>
    </row>
    <row r="36" spans="1:25" x14ac:dyDescent="0.25">
      <c r="A36" s="47"/>
      <c r="B36" s="277"/>
      <c r="C36" s="282"/>
      <c r="D36" s="282"/>
      <c r="E36" s="282"/>
      <c r="F36" s="282"/>
      <c r="G36" s="282"/>
      <c r="H36" s="283"/>
      <c r="I36" s="284"/>
      <c r="J36" s="282"/>
      <c r="K36" s="282"/>
      <c r="L36" s="282"/>
      <c r="M36" s="282"/>
      <c r="N36" s="282"/>
      <c r="O36" s="282"/>
      <c r="P36" s="282"/>
      <c r="Q36" s="47"/>
      <c r="R36" s="47"/>
    </row>
    <row r="37" spans="1:25" x14ac:dyDescent="0.25">
      <c r="A37" s="104"/>
      <c r="B37" s="277"/>
      <c r="C37" s="282"/>
      <c r="D37" s="282"/>
      <c r="E37" s="282"/>
      <c r="F37" s="282"/>
      <c r="G37" s="282"/>
      <c r="H37" s="283"/>
      <c r="I37" s="284"/>
      <c r="J37" s="282"/>
      <c r="K37" s="282"/>
      <c r="L37" s="282"/>
      <c r="M37" s="282"/>
      <c r="N37" s="282"/>
      <c r="O37" s="282"/>
      <c r="P37" s="282"/>
      <c r="Q37" s="47"/>
      <c r="R37" s="47"/>
    </row>
    <row r="38" spans="1:25" x14ac:dyDescent="0.25">
      <c r="A38" s="104"/>
      <c r="B38" s="114"/>
      <c r="C38" s="121"/>
      <c r="D38" s="121"/>
      <c r="E38" s="121"/>
      <c r="F38" s="121"/>
      <c r="H38" s="125"/>
    </row>
    <row r="39" spans="1:25" x14ac:dyDescent="0.25">
      <c r="A39" s="104"/>
      <c r="B39" s="114"/>
      <c r="C39" s="121"/>
      <c r="D39" s="121"/>
      <c r="E39" s="121"/>
      <c r="F39" s="121"/>
      <c r="H39" s="125"/>
    </row>
    <row r="40" spans="1:25" x14ac:dyDescent="0.25">
      <c r="A40" s="104"/>
      <c r="B40" s="114"/>
      <c r="C40" s="121"/>
      <c r="D40" s="126"/>
      <c r="E40" s="126"/>
      <c r="F40" s="126"/>
      <c r="G40" s="126"/>
      <c r="H40" s="125"/>
    </row>
    <row r="41" spans="1:25" ht="16.5" x14ac:dyDescent="0.2">
      <c r="A41" s="104"/>
      <c r="B41" s="114"/>
      <c r="C41" s="121"/>
      <c r="D41" s="40"/>
      <c r="E41" s="40"/>
      <c r="F41" s="23"/>
      <c r="G41" s="23"/>
      <c r="H41" s="125"/>
    </row>
    <row r="42" spans="1:25" ht="16.5" x14ac:dyDescent="0.25">
      <c r="A42" s="104"/>
      <c r="D42" s="23"/>
      <c r="E42" s="23"/>
      <c r="F42" s="23"/>
      <c r="G42" s="23"/>
      <c r="H42" s="125"/>
      <c r="W42" s="127"/>
    </row>
    <row r="43" spans="1:25" ht="16.5" x14ac:dyDescent="0.25">
      <c r="A43" s="104"/>
      <c r="D43" s="128"/>
      <c r="E43" s="128"/>
      <c r="F43" s="128"/>
      <c r="G43" s="128"/>
      <c r="H43" s="125"/>
    </row>
    <row r="44" spans="1:25" ht="16.5" x14ac:dyDescent="0.25">
      <c r="A44" s="47"/>
      <c r="D44" s="503" t="s">
        <v>28</v>
      </c>
      <c r="E44" s="503"/>
      <c r="F44" s="503"/>
      <c r="G44" s="503"/>
      <c r="H44" s="125"/>
      <c r="W44" s="127"/>
      <c r="X44" s="127"/>
      <c r="Y44" s="127"/>
    </row>
    <row r="45" spans="1:25" ht="16.5" x14ac:dyDescent="0.25">
      <c r="A45" s="47"/>
      <c r="D45" s="503" t="s">
        <v>27</v>
      </c>
      <c r="E45" s="503"/>
      <c r="F45" s="503"/>
      <c r="G45" s="503"/>
      <c r="H45" s="125"/>
      <c r="W45" s="129"/>
      <c r="X45" s="127"/>
      <c r="Y45" s="127"/>
    </row>
    <row r="46" spans="1:25" x14ac:dyDescent="0.25">
      <c r="A46" s="47"/>
      <c r="W46" s="127"/>
      <c r="X46" s="127"/>
      <c r="Y46" s="127"/>
    </row>
    <row r="47" spans="1:25" x14ac:dyDescent="0.25">
      <c r="W47" s="127"/>
      <c r="X47" s="127"/>
      <c r="Y47" s="127"/>
    </row>
    <row r="48" spans="1:25" x14ac:dyDescent="0.25">
      <c r="W48" s="127"/>
      <c r="X48" s="127"/>
      <c r="Y48" s="127"/>
    </row>
    <row r="49" spans="23:25" x14ac:dyDescent="0.25">
      <c r="W49" s="127"/>
      <c r="X49" s="127"/>
      <c r="Y49" s="127"/>
    </row>
    <row r="50" spans="23:25" x14ac:dyDescent="0.25">
      <c r="W50" s="127"/>
      <c r="X50" s="127"/>
      <c r="Y50" s="127"/>
    </row>
    <row r="51" spans="23:25" x14ac:dyDescent="0.25">
      <c r="W51" s="127"/>
      <c r="X51" s="127"/>
      <c r="Y51" s="127"/>
    </row>
    <row r="52" spans="23:25" x14ac:dyDescent="0.25">
      <c r="W52" s="127"/>
      <c r="X52" s="127"/>
      <c r="Y52" s="127"/>
    </row>
  </sheetData>
  <mergeCells count="16">
    <mergeCell ref="K5:Q5"/>
    <mergeCell ref="B2:Q3"/>
    <mergeCell ref="B4:Q4"/>
    <mergeCell ref="D44:G44"/>
    <mergeCell ref="D45:G45"/>
    <mergeCell ref="C21:I21"/>
    <mergeCell ref="B22:J22"/>
    <mergeCell ref="C23:I23"/>
    <mergeCell ref="C24:I24"/>
    <mergeCell ref="C25:I25"/>
    <mergeCell ref="B26:J26"/>
    <mergeCell ref="B16:J16"/>
    <mergeCell ref="B6:B7"/>
    <mergeCell ref="C6:C7"/>
    <mergeCell ref="C15:I15"/>
    <mergeCell ref="D5:J5"/>
  </mergeCells>
  <pageMargins left="0.7" right="0.7" top="0.75" bottom="0.75" header="0.3" footer="0.3"/>
  <pageSetup paperSize="9" scale="45" orientation="portrait" r:id="rId1"/>
  <headerFooter>
    <oddHeader>&amp;CBPIN 20220214000041 REPOSICIÓN DE CUBIERTA EN LA INSTITUCIÓN EDUCATIVA AGRICOLA DE ARGELIA SEDE PRINCIPAL, NIÑAS, GABRIEL GARCIA MÁRQUEZ, CENTRO DE JÓVENES E INSTITUCIÓN EDUCATIVA BOTAFOGO MUNICIPIO DE  ARGELIA, CAUCA</oddHeader>
    <oddFooter>&amp;CDirección: Calle 26N # 7c-45; Celular: 3012730678 - 3217177544 
email: dazarquitectura.19@gmail.com; procesosylicitaciones@hotmail.com</oddFooter>
  </headerFooter>
  <colBreaks count="1" manualBreakCount="1">
    <brk id="18" max="5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230D71-1B4B-4D72-A551-811555EFDB1F}">
  <sheetPr>
    <pageSetUpPr fitToPage="1"/>
  </sheetPr>
  <dimension ref="B1:AC83"/>
  <sheetViews>
    <sheetView topLeftCell="A4" zoomScaleNormal="100" zoomScaleSheetLayoutView="110" zoomScalePageLayoutView="70" workbookViewId="0">
      <selection activeCell="M6" sqref="M6"/>
    </sheetView>
  </sheetViews>
  <sheetFormatPr baseColWidth="10" defaultColWidth="14.42578125" defaultRowHeight="15" x14ac:dyDescent="0.25"/>
  <cols>
    <col min="1" max="1" width="2.42578125" customWidth="1"/>
    <col min="2" max="2" width="10.5703125" customWidth="1"/>
    <col min="3" max="3" width="23.140625" customWidth="1"/>
    <col min="4" max="4" width="38.42578125" customWidth="1"/>
    <col min="5" max="5" width="9.42578125" style="160" customWidth="1"/>
    <col min="6" max="6" width="11.42578125" style="161" customWidth="1"/>
    <col min="7" max="7" width="6.42578125" style="161" customWidth="1"/>
    <col min="8" max="8" width="8.42578125" customWidth="1"/>
    <col min="9" max="9" width="8.5703125" customWidth="1"/>
    <col min="10" max="10" width="11.28515625" style="162" bestFit="1" customWidth="1"/>
    <col min="11" max="11" width="9.85546875" style="162" customWidth="1"/>
    <col min="12" max="12" width="6.42578125" style="162" customWidth="1"/>
    <col min="13" max="13" width="8" style="162" customWidth="1"/>
    <col min="14" max="14" width="8.85546875" style="162" customWidth="1"/>
    <col min="15" max="22" width="14.42578125" style="162"/>
    <col min="23" max="23" width="5.5703125" customWidth="1"/>
    <col min="24" max="24" width="17.42578125" hidden="1" customWidth="1"/>
    <col min="25" max="25" width="14.85546875" hidden="1" customWidth="1"/>
    <col min="26" max="27" width="10.85546875" customWidth="1"/>
    <col min="28" max="29" width="10.5703125" customWidth="1"/>
  </cols>
  <sheetData>
    <row r="1" spans="2:29" ht="12.75" customHeight="1" thickBot="1" x14ac:dyDescent="0.3">
      <c r="B1" s="619" t="s">
        <v>141</v>
      </c>
      <c r="C1" s="620"/>
      <c r="D1" s="620"/>
      <c r="E1" s="620"/>
      <c r="F1" s="620"/>
      <c r="G1" s="620"/>
      <c r="H1" s="620"/>
      <c r="I1" s="620"/>
      <c r="J1" s="620"/>
      <c r="K1" s="620"/>
      <c r="L1" s="620"/>
      <c r="M1" s="620"/>
      <c r="N1" s="620"/>
      <c r="O1" s="621"/>
      <c r="P1" s="391"/>
      <c r="Q1" s="391"/>
      <c r="R1" s="391"/>
      <c r="S1" s="391"/>
      <c r="T1" s="391"/>
      <c r="U1" s="391"/>
      <c r="V1" s="391"/>
      <c r="W1" s="133"/>
      <c r="X1" s="133"/>
      <c r="Y1" s="133"/>
      <c r="Z1" s="133"/>
      <c r="AA1" s="133"/>
      <c r="AB1" s="134"/>
      <c r="AC1" s="134"/>
    </row>
    <row r="2" spans="2:29" ht="34.5" customHeight="1" thickBot="1" x14ac:dyDescent="0.3">
      <c r="B2" s="622" t="s">
        <v>171</v>
      </c>
      <c r="C2" s="623"/>
      <c r="D2" s="623"/>
      <c r="E2" s="623"/>
      <c r="F2" s="623"/>
      <c r="G2" s="623"/>
      <c r="H2" s="623"/>
      <c r="I2" s="623"/>
      <c r="J2" s="623"/>
      <c r="K2" s="623"/>
      <c r="L2" s="623"/>
      <c r="M2" s="623"/>
      <c r="N2" s="623"/>
      <c r="O2" s="624"/>
      <c r="P2" s="389"/>
      <c r="Q2" s="389"/>
      <c r="R2" s="389"/>
      <c r="S2" s="389"/>
      <c r="T2" s="389"/>
      <c r="U2" s="389"/>
      <c r="V2" s="389"/>
      <c r="W2" s="135"/>
      <c r="X2" s="136"/>
      <c r="Y2" s="136"/>
      <c r="Z2" s="136"/>
      <c r="AA2" s="136"/>
      <c r="AB2" s="134"/>
      <c r="AC2" s="134"/>
    </row>
    <row r="3" spans="2:29" ht="34.5" customHeight="1" thickBot="1" x14ac:dyDescent="0.3">
      <c r="B3" s="387"/>
      <c r="C3" s="388"/>
      <c r="D3" s="389"/>
      <c r="E3" s="389"/>
      <c r="F3" s="628" t="s">
        <v>30</v>
      </c>
      <c r="G3" s="628"/>
      <c r="H3" s="628"/>
      <c r="I3" s="628"/>
      <c r="J3" s="629"/>
      <c r="K3" s="617" t="s">
        <v>31</v>
      </c>
      <c r="L3" s="618"/>
      <c r="M3" s="618"/>
      <c r="N3" s="618"/>
      <c r="O3" s="618"/>
      <c r="P3" s="390"/>
      <c r="Q3" s="390"/>
      <c r="R3" s="390"/>
      <c r="S3" s="390"/>
      <c r="T3" s="390"/>
      <c r="U3" s="390"/>
      <c r="V3" s="390"/>
      <c r="W3" s="135"/>
      <c r="X3" s="136"/>
      <c r="Y3" s="136"/>
      <c r="Z3" s="136"/>
      <c r="AA3" s="136"/>
      <c r="AB3" s="134"/>
      <c r="AC3" s="134"/>
    </row>
    <row r="4" spans="2:29" ht="23.45" customHeight="1" thickTop="1" thickBot="1" x14ac:dyDescent="0.3">
      <c r="B4" s="137" t="s">
        <v>142</v>
      </c>
      <c r="C4" s="138" t="s">
        <v>143</v>
      </c>
      <c r="D4" s="139" t="s">
        <v>144</v>
      </c>
      <c r="E4" s="139" t="s">
        <v>51</v>
      </c>
      <c r="F4" s="140" t="s">
        <v>145</v>
      </c>
      <c r="G4" s="140" t="s">
        <v>194</v>
      </c>
      <c r="H4" s="139" t="s">
        <v>146</v>
      </c>
      <c r="I4" s="139" t="s">
        <v>147</v>
      </c>
      <c r="J4" s="141" t="s">
        <v>148</v>
      </c>
      <c r="K4" s="140" t="s">
        <v>145</v>
      </c>
      <c r="L4" s="140" t="s">
        <v>194</v>
      </c>
      <c r="M4" s="139" t="s">
        <v>146</v>
      </c>
      <c r="N4" s="139" t="s">
        <v>147</v>
      </c>
      <c r="O4" s="141" t="s">
        <v>148</v>
      </c>
      <c r="P4" s="392"/>
      <c r="Q4" s="392"/>
      <c r="R4" s="392"/>
      <c r="S4" s="392"/>
      <c r="T4" s="392"/>
      <c r="U4" s="392"/>
      <c r="V4" s="392"/>
      <c r="W4" s="142"/>
      <c r="X4" s="133"/>
      <c r="Y4" s="133"/>
      <c r="Z4" s="133"/>
      <c r="AA4" s="133"/>
      <c r="AB4" s="134"/>
      <c r="AC4" s="134"/>
    </row>
    <row r="5" spans="2:29" ht="47.25" customHeight="1" x14ac:dyDescent="0.25">
      <c r="B5" s="143" t="s">
        <v>149</v>
      </c>
      <c r="C5" s="144" t="s">
        <v>150</v>
      </c>
      <c r="D5" s="145" t="s">
        <v>151</v>
      </c>
      <c r="E5" s="146" t="s">
        <v>152</v>
      </c>
      <c r="F5" s="191">
        <v>1200000</v>
      </c>
      <c r="G5" s="395">
        <v>1</v>
      </c>
      <c r="H5" s="400">
        <v>1.85</v>
      </c>
      <c r="I5" s="401">
        <v>3</v>
      </c>
      <c r="J5" s="396">
        <f>+I5*H5*F5</f>
        <v>6660000.0000000009</v>
      </c>
      <c r="K5" s="191">
        <v>4500000</v>
      </c>
      <c r="L5" s="395">
        <v>0.4</v>
      </c>
      <c r="M5" s="400">
        <v>2.4</v>
      </c>
      <c r="N5" s="401">
        <v>3</v>
      </c>
      <c r="O5" s="396">
        <f>+N5*M5*K5*L5</f>
        <v>12960000</v>
      </c>
      <c r="P5" s="393"/>
      <c r="Q5" s="393"/>
      <c r="R5" s="393"/>
      <c r="S5" s="393"/>
      <c r="T5" s="393"/>
      <c r="U5" s="393"/>
      <c r="V5" s="393"/>
      <c r="W5" s="142"/>
      <c r="X5" s="147">
        <v>1200000</v>
      </c>
      <c r="Y5" s="148">
        <v>1.89</v>
      </c>
      <c r="Z5" s="133"/>
      <c r="AA5" s="133"/>
      <c r="AB5" s="134"/>
      <c r="AC5" s="134"/>
    </row>
    <row r="6" spans="2:29" ht="12.75" customHeight="1" x14ac:dyDescent="0.25">
      <c r="B6" s="607" t="s">
        <v>153</v>
      </c>
      <c r="C6" s="608" t="s">
        <v>154</v>
      </c>
      <c r="D6" s="149" t="s">
        <v>155</v>
      </c>
      <c r="E6" s="150" t="s">
        <v>156</v>
      </c>
      <c r="F6" s="397">
        <v>700000</v>
      </c>
      <c r="G6" s="397"/>
      <c r="H6" s="397"/>
      <c r="I6" s="402">
        <v>1</v>
      </c>
      <c r="J6" s="398">
        <f>+I6*F6</f>
        <v>700000</v>
      </c>
      <c r="K6" s="397">
        <v>700000</v>
      </c>
      <c r="L6" s="397"/>
      <c r="M6" s="397"/>
      <c r="N6" s="402">
        <v>1</v>
      </c>
      <c r="O6" s="398">
        <f>+N6*K6</f>
        <v>700000</v>
      </c>
      <c r="P6" s="393"/>
      <c r="Q6" s="393"/>
      <c r="R6" s="393"/>
      <c r="S6" s="393"/>
      <c r="T6" s="393"/>
      <c r="U6" s="393"/>
      <c r="V6" s="393"/>
      <c r="W6" s="142"/>
      <c r="X6" s="133"/>
      <c r="Y6" s="133"/>
      <c r="Z6" s="133"/>
      <c r="AA6" s="133"/>
      <c r="AB6" s="134"/>
      <c r="AC6" s="134"/>
    </row>
    <row r="7" spans="2:29" ht="12.75" customHeight="1" x14ac:dyDescent="0.25">
      <c r="B7" s="607"/>
      <c r="C7" s="609"/>
      <c r="D7" s="149" t="s">
        <v>157</v>
      </c>
      <c r="E7" s="150" t="s">
        <v>156</v>
      </c>
      <c r="F7" s="397">
        <v>150000</v>
      </c>
      <c r="G7" s="397"/>
      <c r="H7" s="397"/>
      <c r="I7" s="402">
        <v>1</v>
      </c>
      <c r="J7" s="398">
        <f t="shared" ref="J7:J15" si="0">+I7*F7</f>
        <v>150000</v>
      </c>
      <c r="K7" s="397">
        <v>150000</v>
      </c>
      <c r="L7" s="397"/>
      <c r="M7" s="397"/>
      <c r="N7" s="402">
        <v>1</v>
      </c>
      <c r="O7" s="398">
        <f t="shared" ref="O7:O15" si="1">+N7*K7</f>
        <v>150000</v>
      </c>
      <c r="P7" s="393"/>
      <c r="Q7" s="393"/>
      <c r="R7" s="393"/>
      <c r="S7" s="393"/>
      <c r="T7" s="393"/>
      <c r="U7" s="393"/>
      <c r="V7" s="393"/>
      <c r="W7" s="142"/>
      <c r="X7" s="133"/>
      <c r="Y7" s="133"/>
      <c r="Z7" s="133"/>
      <c r="AA7" s="133"/>
      <c r="AB7" s="134"/>
      <c r="AC7" s="134"/>
    </row>
    <row r="8" spans="2:29" ht="12.75" customHeight="1" x14ac:dyDescent="0.25">
      <c r="B8" s="607"/>
      <c r="C8" s="609"/>
      <c r="D8" s="149" t="s">
        <v>158</v>
      </c>
      <c r="E8" s="150" t="s">
        <v>156</v>
      </c>
      <c r="F8" s="397">
        <v>200000</v>
      </c>
      <c r="G8" s="397"/>
      <c r="H8" s="397"/>
      <c r="I8" s="402">
        <v>1</v>
      </c>
      <c r="J8" s="398">
        <f t="shared" si="0"/>
        <v>200000</v>
      </c>
      <c r="K8" s="397">
        <v>200000</v>
      </c>
      <c r="L8" s="397"/>
      <c r="M8" s="397"/>
      <c r="N8" s="402">
        <v>1</v>
      </c>
      <c r="O8" s="398">
        <f t="shared" si="1"/>
        <v>200000</v>
      </c>
      <c r="P8" s="393"/>
      <c r="Q8" s="393"/>
      <c r="R8" s="393"/>
      <c r="S8" s="393"/>
      <c r="T8" s="393"/>
      <c r="U8" s="393"/>
      <c r="V8" s="393"/>
      <c r="W8" s="142"/>
      <c r="X8" s="133"/>
      <c r="Y8" s="133"/>
      <c r="Z8" s="133"/>
      <c r="AA8" s="133"/>
      <c r="AB8" s="134"/>
      <c r="AC8" s="134"/>
    </row>
    <row r="9" spans="2:29" ht="12.75" customHeight="1" x14ac:dyDescent="0.25">
      <c r="B9" s="607"/>
      <c r="C9" s="610"/>
      <c r="D9" s="149" t="s">
        <v>159</v>
      </c>
      <c r="E9" s="150" t="s">
        <v>156</v>
      </c>
      <c r="F9" s="397">
        <v>200000</v>
      </c>
      <c r="G9" s="397"/>
      <c r="H9" s="397"/>
      <c r="I9" s="402">
        <v>1</v>
      </c>
      <c r="J9" s="398">
        <f t="shared" si="0"/>
        <v>200000</v>
      </c>
      <c r="K9" s="397">
        <v>200000</v>
      </c>
      <c r="L9" s="397"/>
      <c r="M9" s="397"/>
      <c r="N9" s="402">
        <v>1</v>
      </c>
      <c r="O9" s="398">
        <f t="shared" si="1"/>
        <v>200000</v>
      </c>
      <c r="P9" s="393"/>
      <c r="Q9" s="393"/>
      <c r="R9" s="393"/>
      <c r="S9" s="393"/>
      <c r="T9" s="393"/>
      <c r="U9" s="393"/>
      <c r="V9" s="393"/>
      <c r="W9" s="142"/>
      <c r="X9" s="133"/>
      <c r="Y9" s="133"/>
      <c r="Z9" s="133"/>
      <c r="AA9" s="133"/>
      <c r="AB9" s="134"/>
      <c r="AC9" s="134"/>
    </row>
    <row r="10" spans="2:29" ht="43.5" customHeight="1" x14ac:dyDescent="0.25">
      <c r="B10" s="607"/>
      <c r="C10" s="152" t="s">
        <v>160</v>
      </c>
      <c r="D10" s="153" t="s">
        <v>161</v>
      </c>
      <c r="E10" s="150" t="s">
        <v>156</v>
      </c>
      <c r="F10" s="397">
        <v>140000</v>
      </c>
      <c r="G10" s="397"/>
      <c r="H10" s="397"/>
      <c r="I10" s="402">
        <v>1</v>
      </c>
      <c r="J10" s="398">
        <f t="shared" si="0"/>
        <v>140000</v>
      </c>
      <c r="K10" s="397">
        <v>140000</v>
      </c>
      <c r="L10" s="397"/>
      <c r="M10" s="397"/>
      <c r="N10" s="402">
        <v>5</v>
      </c>
      <c r="O10" s="398">
        <f t="shared" si="1"/>
        <v>700000</v>
      </c>
      <c r="P10" s="393"/>
      <c r="Q10" s="393"/>
      <c r="R10" s="393"/>
      <c r="S10" s="393"/>
      <c r="T10" s="393"/>
      <c r="U10" s="393"/>
      <c r="V10" s="393"/>
      <c r="W10" s="142"/>
      <c r="X10" s="151">
        <v>1</v>
      </c>
      <c r="Y10" s="133"/>
      <c r="Z10" s="133"/>
      <c r="AA10" s="133"/>
      <c r="AB10" s="134"/>
      <c r="AC10" s="134"/>
    </row>
    <row r="11" spans="2:29" ht="12.75" customHeight="1" x14ac:dyDescent="0.25">
      <c r="B11" s="611" t="s">
        <v>162</v>
      </c>
      <c r="C11" s="614" t="s">
        <v>163</v>
      </c>
      <c r="D11" s="149" t="s">
        <v>164</v>
      </c>
      <c r="E11" s="150" t="s">
        <v>156</v>
      </c>
      <c r="F11" s="399">
        <v>140000</v>
      </c>
      <c r="G11" s="399"/>
      <c r="H11" s="399"/>
      <c r="I11" s="403">
        <v>1</v>
      </c>
      <c r="J11" s="398">
        <f t="shared" si="0"/>
        <v>140000</v>
      </c>
      <c r="K11" s="399">
        <v>140000</v>
      </c>
      <c r="L11" s="399"/>
      <c r="M11" s="399"/>
      <c r="N11" s="403">
        <v>1</v>
      </c>
      <c r="O11" s="398">
        <f t="shared" si="1"/>
        <v>140000</v>
      </c>
      <c r="P11" s="393"/>
      <c r="Q11" s="393"/>
      <c r="R11" s="393"/>
      <c r="S11" s="393"/>
      <c r="T11" s="393"/>
      <c r="U11" s="393"/>
      <c r="V11" s="393"/>
      <c r="W11" s="142"/>
      <c r="X11" s="133"/>
      <c r="Y11" s="133"/>
      <c r="Z11" s="133"/>
      <c r="AA11" s="133"/>
      <c r="AB11" s="134"/>
      <c r="AC11" s="134"/>
    </row>
    <row r="12" spans="2:29" ht="12.75" customHeight="1" x14ac:dyDescent="0.25">
      <c r="B12" s="612"/>
      <c r="C12" s="615"/>
      <c r="D12" s="149" t="s">
        <v>165</v>
      </c>
      <c r="E12" s="150" t="s">
        <v>156</v>
      </c>
      <c r="F12" s="399">
        <v>80000</v>
      </c>
      <c r="G12" s="399"/>
      <c r="H12" s="399"/>
      <c r="I12" s="403">
        <v>1</v>
      </c>
      <c r="J12" s="398">
        <f t="shared" si="0"/>
        <v>80000</v>
      </c>
      <c r="K12" s="399">
        <v>80000</v>
      </c>
      <c r="L12" s="399"/>
      <c r="M12" s="399"/>
      <c r="N12" s="403">
        <v>1</v>
      </c>
      <c r="O12" s="398">
        <f t="shared" si="1"/>
        <v>80000</v>
      </c>
      <c r="P12" s="393"/>
      <c r="Q12" s="393"/>
      <c r="R12" s="393"/>
      <c r="S12" s="393"/>
      <c r="T12" s="393"/>
      <c r="U12" s="393"/>
      <c r="V12" s="393"/>
      <c r="W12" s="142"/>
      <c r="X12" s="133"/>
      <c r="Y12" s="133"/>
      <c r="Z12" s="133"/>
      <c r="AA12" s="133"/>
      <c r="AB12" s="134"/>
      <c r="AC12" s="134"/>
    </row>
    <row r="13" spans="2:29" ht="12.75" customHeight="1" x14ac:dyDescent="0.25">
      <c r="B13" s="612"/>
      <c r="C13" s="614" t="s">
        <v>166</v>
      </c>
      <c r="D13" s="149" t="s">
        <v>167</v>
      </c>
      <c r="E13" s="150" t="s">
        <v>156</v>
      </c>
      <c r="F13" s="399">
        <v>80000</v>
      </c>
      <c r="G13" s="399"/>
      <c r="H13" s="399"/>
      <c r="I13" s="403">
        <v>1</v>
      </c>
      <c r="J13" s="398">
        <f t="shared" si="0"/>
        <v>80000</v>
      </c>
      <c r="K13" s="399">
        <v>80000</v>
      </c>
      <c r="L13" s="399"/>
      <c r="M13" s="399"/>
      <c r="N13" s="403">
        <v>1</v>
      </c>
      <c r="O13" s="398">
        <f t="shared" si="1"/>
        <v>80000</v>
      </c>
      <c r="P13" s="393"/>
      <c r="Q13" s="393"/>
      <c r="R13" s="393"/>
      <c r="S13" s="393"/>
      <c r="T13" s="393"/>
      <c r="U13" s="393"/>
      <c r="V13" s="393"/>
      <c r="W13" s="142"/>
      <c r="X13" s="133"/>
      <c r="Y13" s="133"/>
      <c r="Z13" s="133"/>
      <c r="AA13" s="133"/>
      <c r="AB13" s="134"/>
      <c r="AC13" s="134"/>
    </row>
    <row r="14" spans="2:29" ht="12.75" customHeight="1" x14ac:dyDescent="0.25">
      <c r="B14" s="612"/>
      <c r="C14" s="616"/>
      <c r="D14" s="149" t="s">
        <v>168</v>
      </c>
      <c r="E14" s="150" t="s">
        <v>156</v>
      </c>
      <c r="F14" s="399">
        <v>80000</v>
      </c>
      <c r="G14" s="399"/>
      <c r="H14" s="399"/>
      <c r="I14" s="403">
        <v>1</v>
      </c>
      <c r="J14" s="398">
        <f t="shared" si="0"/>
        <v>80000</v>
      </c>
      <c r="K14" s="399">
        <v>80000</v>
      </c>
      <c r="L14" s="399"/>
      <c r="M14" s="399"/>
      <c r="N14" s="403">
        <v>1</v>
      </c>
      <c r="O14" s="398">
        <f t="shared" si="1"/>
        <v>80000</v>
      </c>
      <c r="P14" s="393"/>
      <c r="Q14" s="393"/>
      <c r="R14" s="393"/>
      <c r="S14" s="393"/>
      <c r="T14" s="393"/>
      <c r="U14" s="393"/>
      <c r="V14" s="393"/>
      <c r="W14" s="142"/>
      <c r="X14" s="133"/>
      <c r="Y14" s="133"/>
      <c r="Z14" s="133"/>
      <c r="AA14" s="133"/>
      <c r="AB14" s="134"/>
      <c r="AC14" s="134"/>
    </row>
    <row r="15" spans="2:29" ht="12.75" customHeight="1" thickBot="1" x14ac:dyDescent="0.3">
      <c r="B15" s="613"/>
      <c r="C15" s="615"/>
      <c r="D15" s="149" t="s">
        <v>169</v>
      </c>
      <c r="E15" s="150" t="s">
        <v>156</v>
      </c>
      <c r="F15" s="399">
        <v>80000</v>
      </c>
      <c r="G15" s="399"/>
      <c r="H15" s="399"/>
      <c r="I15" s="403">
        <v>1</v>
      </c>
      <c r="J15" s="398">
        <f t="shared" si="0"/>
        <v>80000</v>
      </c>
      <c r="K15" s="406">
        <v>80000</v>
      </c>
      <c r="L15" s="406"/>
      <c r="M15" s="406"/>
      <c r="N15" s="407">
        <v>1</v>
      </c>
      <c r="O15" s="398">
        <f t="shared" si="1"/>
        <v>80000</v>
      </c>
      <c r="P15" s="393"/>
      <c r="Q15" s="393"/>
      <c r="R15" s="393"/>
      <c r="S15" s="393"/>
      <c r="T15" s="393"/>
      <c r="U15" s="393"/>
      <c r="V15" s="393"/>
      <c r="W15" s="142"/>
      <c r="X15" s="133"/>
      <c r="Y15" s="133"/>
      <c r="Z15" s="133"/>
      <c r="AA15" s="133"/>
      <c r="AB15" s="134"/>
      <c r="AC15" s="134"/>
    </row>
    <row r="16" spans="2:29" ht="12.75" customHeight="1" thickBot="1" x14ac:dyDescent="0.3">
      <c r="B16" s="154"/>
      <c r="C16" s="155"/>
      <c r="D16" s="625" t="s">
        <v>170</v>
      </c>
      <c r="E16" s="626"/>
      <c r="F16" s="626"/>
      <c r="G16" s="626"/>
      <c r="H16" s="626"/>
      <c r="I16" s="627"/>
      <c r="J16" s="404">
        <f>SUM(J5:J15)</f>
        <v>8510000</v>
      </c>
      <c r="K16" s="408"/>
      <c r="L16" s="409"/>
      <c r="M16" s="409"/>
      <c r="N16" s="405"/>
      <c r="O16" s="410">
        <f>SUM(O5:O15)</f>
        <v>15370000</v>
      </c>
      <c r="P16" s="394"/>
      <c r="Q16" s="394"/>
      <c r="R16" s="394"/>
      <c r="S16" s="394"/>
      <c r="T16" s="394"/>
      <c r="U16" s="394"/>
      <c r="V16" s="394"/>
      <c r="W16" s="156"/>
      <c r="X16" s="157"/>
      <c r="Y16" s="158"/>
      <c r="Z16" s="158"/>
      <c r="AA16" s="158"/>
      <c r="AB16" s="159"/>
      <c r="AC16" s="159"/>
    </row>
    <row r="17" spans="2:29" ht="12.75" customHeight="1" x14ac:dyDescent="0.25">
      <c r="W17" s="163"/>
      <c r="X17" s="164"/>
      <c r="Y17" s="165"/>
      <c r="Z17" s="166"/>
      <c r="AA17" s="158"/>
      <c r="AB17" s="159"/>
      <c r="AC17" s="159"/>
    </row>
    <row r="18" spans="2:29" ht="12.75" customHeight="1" x14ac:dyDescent="0.25">
      <c r="W18" s="167"/>
      <c r="X18" s="168"/>
      <c r="Y18" s="168"/>
      <c r="Z18" s="168"/>
      <c r="AA18" s="133"/>
      <c r="AB18" s="134"/>
      <c r="AC18" s="134"/>
    </row>
    <row r="19" spans="2:29" ht="12.75" customHeight="1" x14ac:dyDescent="0.25">
      <c r="W19" s="167"/>
      <c r="X19" s="169"/>
      <c r="Y19" s="168"/>
      <c r="Z19" s="168"/>
      <c r="AA19" s="133"/>
      <c r="AB19" s="134"/>
      <c r="AC19" s="134"/>
    </row>
    <row r="20" spans="2:29" x14ac:dyDescent="0.25">
      <c r="D20" s="118"/>
      <c r="E20" s="170"/>
      <c r="F20" s="171"/>
      <c r="G20" s="171"/>
      <c r="H20" s="118"/>
      <c r="W20" s="167"/>
      <c r="X20" s="169"/>
      <c r="Y20" s="168"/>
      <c r="Z20" s="168"/>
      <c r="AA20" s="133"/>
      <c r="AB20" s="134"/>
      <c r="AC20" s="134"/>
    </row>
    <row r="21" spans="2:29" ht="12.75" customHeight="1" x14ac:dyDescent="0.25">
      <c r="D21" s="126"/>
      <c r="E21" s="172"/>
      <c r="F21" s="173"/>
      <c r="G21" s="173"/>
      <c r="H21" s="126"/>
      <c r="I21" s="126"/>
      <c r="J21" s="174"/>
      <c r="K21" s="174"/>
      <c r="L21" s="174"/>
      <c r="M21" s="174"/>
      <c r="N21" s="174"/>
      <c r="O21" s="174"/>
      <c r="P21" s="174"/>
      <c r="Q21" s="174"/>
      <c r="R21" s="174"/>
      <c r="S21" s="174"/>
      <c r="T21" s="174"/>
      <c r="U21" s="174"/>
      <c r="V21" s="174"/>
      <c r="W21" s="126"/>
      <c r="X21" s="168"/>
      <c r="Y21" s="168"/>
      <c r="Z21" s="168"/>
      <c r="AA21" s="133"/>
      <c r="AB21" s="134"/>
      <c r="AC21" s="134"/>
    </row>
    <row r="22" spans="2:29" ht="12.75" customHeight="1" x14ac:dyDescent="0.25">
      <c r="D22" s="40"/>
      <c r="E22" s="175"/>
      <c r="F22" s="176"/>
      <c r="G22" s="176"/>
      <c r="H22" s="40"/>
      <c r="I22" s="40"/>
      <c r="J22" s="177"/>
      <c r="K22" s="177"/>
      <c r="L22" s="177"/>
      <c r="M22" s="177"/>
      <c r="N22" s="177"/>
      <c r="O22" s="177"/>
      <c r="P22" s="177"/>
      <c r="Q22" s="177"/>
      <c r="R22" s="177"/>
      <c r="S22" s="177"/>
      <c r="T22" s="177"/>
      <c r="U22" s="177"/>
      <c r="V22" s="177"/>
      <c r="W22" s="23"/>
      <c r="X22" s="133"/>
      <c r="Y22" s="133"/>
      <c r="Z22" s="133"/>
      <c r="AA22" s="133"/>
      <c r="AB22" s="134"/>
      <c r="AC22" s="134"/>
    </row>
    <row r="23" spans="2:29" ht="12.75" customHeight="1" x14ac:dyDescent="0.25">
      <c r="D23" s="23"/>
      <c r="E23" s="21"/>
      <c r="F23" s="31"/>
      <c r="G23" s="31"/>
      <c r="H23" s="23"/>
      <c r="I23" s="23"/>
      <c r="J23" s="177"/>
      <c r="K23" s="177"/>
      <c r="L23" s="177"/>
      <c r="M23" s="177"/>
      <c r="N23" s="177"/>
      <c r="O23" s="177"/>
      <c r="P23" s="177"/>
      <c r="Q23" s="177"/>
      <c r="R23" s="177"/>
      <c r="S23" s="177"/>
      <c r="T23" s="177"/>
      <c r="U23" s="177"/>
      <c r="V23" s="177"/>
      <c r="W23" s="23"/>
      <c r="X23" s="133"/>
      <c r="Y23" s="133"/>
      <c r="Z23" s="133"/>
      <c r="AA23" s="133"/>
      <c r="AB23" s="134"/>
      <c r="AC23" s="134"/>
    </row>
    <row r="24" spans="2:29" ht="12.75" customHeight="1" x14ac:dyDescent="0.25">
      <c r="B24" s="178"/>
      <c r="C24" s="178"/>
      <c r="D24" s="128"/>
      <c r="E24" s="179"/>
      <c r="F24" s="180"/>
      <c r="G24" s="180"/>
      <c r="H24" s="128"/>
      <c r="I24" s="128"/>
      <c r="J24" s="181"/>
      <c r="K24" s="181"/>
      <c r="L24" s="181"/>
      <c r="M24" s="181"/>
      <c r="N24" s="181"/>
      <c r="O24" s="181"/>
      <c r="P24" s="181"/>
      <c r="Q24" s="181"/>
      <c r="R24" s="181"/>
      <c r="S24" s="181"/>
      <c r="T24" s="181"/>
      <c r="U24" s="181"/>
      <c r="V24" s="181"/>
      <c r="W24" s="128"/>
      <c r="X24" s="133"/>
      <c r="Y24" s="133"/>
      <c r="Z24" s="133"/>
      <c r="AA24" s="133"/>
      <c r="AB24" s="134"/>
      <c r="AC24" s="134"/>
    </row>
    <row r="25" spans="2:29" ht="12.75" customHeight="1" x14ac:dyDescent="0.25">
      <c r="B25" s="178"/>
      <c r="C25" s="178"/>
      <c r="D25" s="503" t="s">
        <v>28</v>
      </c>
      <c r="E25" s="503"/>
      <c r="F25" s="503"/>
      <c r="G25" s="503"/>
      <c r="H25" s="503"/>
      <c r="I25" s="503"/>
      <c r="J25" s="503"/>
      <c r="K25" s="503"/>
      <c r="L25" s="503"/>
      <c r="M25" s="503"/>
      <c r="N25" s="503"/>
      <c r="O25" s="503"/>
      <c r="P25" s="503"/>
      <c r="Q25" s="503"/>
      <c r="R25" s="503"/>
      <c r="S25" s="503"/>
      <c r="T25" s="503"/>
      <c r="U25" s="503"/>
      <c r="V25" s="503"/>
      <c r="W25" s="503"/>
      <c r="X25" s="133"/>
      <c r="Y25" s="133"/>
      <c r="Z25" s="133"/>
      <c r="AA25" s="133"/>
      <c r="AB25" s="134"/>
      <c r="AC25" s="134"/>
    </row>
    <row r="26" spans="2:29" ht="12.75" customHeight="1" x14ac:dyDescent="0.25">
      <c r="B26" s="178"/>
      <c r="C26" s="178"/>
      <c r="D26" s="503" t="s">
        <v>27</v>
      </c>
      <c r="E26" s="503"/>
      <c r="F26" s="503"/>
      <c r="G26" s="503"/>
      <c r="H26" s="503"/>
      <c r="I26" s="503"/>
      <c r="J26" s="503"/>
      <c r="K26" s="503"/>
      <c r="L26" s="503"/>
      <c r="M26" s="503"/>
      <c r="N26" s="503"/>
      <c r="O26" s="503"/>
      <c r="P26" s="503"/>
      <c r="Q26" s="503"/>
      <c r="R26" s="503"/>
      <c r="S26" s="503"/>
      <c r="T26" s="503"/>
      <c r="U26" s="503"/>
      <c r="V26" s="503"/>
      <c r="W26" s="503"/>
      <c r="X26" s="133"/>
      <c r="Y26" s="133"/>
      <c r="Z26" s="133"/>
      <c r="AA26" s="133"/>
      <c r="AB26" s="134"/>
      <c r="AC26" s="134"/>
    </row>
    <row r="27" spans="2:29" ht="12.75" customHeight="1" x14ac:dyDescent="0.25">
      <c r="B27" s="178"/>
      <c r="C27" s="178"/>
      <c r="D27" s="168"/>
      <c r="E27" s="182"/>
      <c r="F27" s="183"/>
      <c r="G27" s="183"/>
      <c r="H27" s="168"/>
      <c r="I27" s="168"/>
      <c r="J27" s="184"/>
      <c r="K27" s="184"/>
      <c r="L27" s="184"/>
      <c r="M27" s="184"/>
      <c r="N27" s="184"/>
      <c r="O27" s="184"/>
      <c r="P27" s="184"/>
      <c r="Q27" s="184"/>
      <c r="R27" s="184"/>
      <c r="S27" s="184"/>
      <c r="T27" s="184"/>
      <c r="U27" s="184"/>
      <c r="V27" s="184"/>
      <c r="W27" s="133"/>
      <c r="X27" s="133"/>
      <c r="Y27" s="133"/>
      <c r="Z27" s="133"/>
      <c r="AA27" s="133"/>
      <c r="AB27" s="134"/>
      <c r="AC27" s="134"/>
    </row>
    <row r="28" spans="2:29" ht="12.75" customHeight="1" x14ac:dyDescent="0.25">
      <c r="B28" s="178"/>
      <c r="C28" s="178"/>
      <c r="D28" s="168"/>
      <c r="E28" s="182"/>
      <c r="F28" s="183"/>
      <c r="G28" s="183"/>
      <c r="H28" s="168"/>
      <c r="I28" s="168"/>
      <c r="J28" s="184"/>
      <c r="K28" s="184"/>
      <c r="L28" s="184"/>
      <c r="M28" s="184"/>
      <c r="N28" s="184"/>
      <c r="O28" s="184"/>
      <c r="P28" s="184"/>
      <c r="Q28" s="184"/>
      <c r="R28" s="184"/>
      <c r="S28" s="184"/>
      <c r="T28" s="184"/>
      <c r="U28" s="184"/>
      <c r="V28" s="184"/>
      <c r="W28" s="133"/>
      <c r="X28" s="133"/>
      <c r="Y28" s="133"/>
      <c r="Z28" s="133"/>
      <c r="AA28" s="133"/>
      <c r="AB28" s="134"/>
      <c r="AC28" s="134"/>
    </row>
    <row r="29" spans="2:29" ht="12.75" customHeight="1" x14ac:dyDescent="0.25">
      <c r="B29" s="178"/>
      <c r="C29" s="178"/>
      <c r="D29" s="168"/>
      <c r="E29" s="182"/>
      <c r="F29" s="183"/>
      <c r="G29" s="183"/>
      <c r="H29" s="168"/>
      <c r="I29" s="168"/>
      <c r="J29" s="184"/>
      <c r="K29" s="184"/>
      <c r="L29" s="184"/>
      <c r="M29" s="184"/>
      <c r="N29" s="184"/>
      <c r="O29" s="184"/>
      <c r="P29" s="184"/>
      <c r="Q29" s="184"/>
      <c r="R29" s="184"/>
      <c r="S29" s="184"/>
      <c r="T29" s="184"/>
      <c r="U29" s="184"/>
      <c r="V29" s="184"/>
      <c r="W29" s="133"/>
      <c r="X29" s="133"/>
      <c r="Y29" s="133"/>
      <c r="Z29" s="133"/>
      <c r="AA29" s="133"/>
      <c r="AB29" s="134"/>
      <c r="AC29" s="134"/>
    </row>
    <row r="30" spans="2:29" ht="12.75" customHeight="1" x14ac:dyDescent="0.25">
      <c r="B30" s="178"/>
      <c r="C30" s="178"/>
      <c r="D30" s="168"/>
      <c r="E30" s="182"/>
      <c r="F30" s="183"/>
      <c r="G30" s="183"/>
      <c r="H30" s="168"/>
      <c r="I30" s="168"/>
      <c r="J30" s="184"/>
      <c r="K30" s="184"/>
      <c r="L30" s="184"/>
      <c r="M30" s="184"/>
      <c r="N30" s="184"/>
      <c r="O30" s="184"/>
      <c r="P30" s="184"/>
      <c r="Q30" s="184"/>
      <c r="R30" s="184"/>
      <c r="S30" s="184"/>
      <c r="T30" s="184"/>
      <c r="U30" s="184"/>
      <c r="V30" s="184"/>
      <c r="W30" s="133"/>
      <c r="X30" s="133"/>
      <c r="Y30" s="133"/>
      <c r="Z30" s="133"/>
      <c r="AA30" s="133"/>
      <c r="AB30" s="134"/>
      <c r="AC30" s="134"/>
    </row>
    <row r="31" spans="2:29" ht="12.75" customHeight="1" x14ac:dyDescent="0.25">
      <c r="B31" s="178"/>
      <c r="C31" s="178"/>
      <c r="D31" s="168"/>
      <c r="E31" s="182"/>
      <c r="F31" s="183"/>
      <c r="G31" s="183"/>
      <c r="H31" s="168"/>
      <c r="I31" s="168"/>
      <c r="J31" s="184"/>
      <c r="K31" s="184"/>
      <c r="L31" s="184"/>
      <c r="M31" s="184"/>
      <c r="N31" s="184"/>
      <c r="O31" s="184"/>
      <c r="P31" s="184"/>
      <c r="Q31" s="184"/>
      <c r="R31" s="184"/>
      <c r="S31" s="184"/>
      <c r="T31" s="184"/>
      <c r="U31" s="184"/>
      <c r="V31" s="184"/>
      <c r="W31" s="133"/>
      <c r="X31" s="133"/>
      <c r="Y31" s="133"/>
      <c r="Z31" s="133"/>
      <c r="AA31" s="133"/>
      <c r="AB31" s="134"/>
      <c r="AC31" s="134"/>
    </row>
    <row r="32" spans="2:29" ht="12.75" customHeight="1" x14ac:dyDescent="0.25">
      <c r="B32" s="178"/>
      <c r="C32" s="178"/>
      <c r="D32" s="168"/>
      <c r="E32" s="182"/>
      <c r="F32" s="183"/>
      <c r="G32" s="183"/>
      <c r="H32" s="168"/>
      <c r="I32" s="168"/>
      <c r="J32" s="184"/>
      <c r="K32" s="184"/>
      <c r="L32" s="184"/>
      <c r="M32" s="184"/>
      <c r="N32" s="184"/>
      <c r="O32" s="184"/>
      <c r="P32" s="184"/>
      <c r="Q32" s="184"/>
      <c r="R32" s="184"/>
      <c r="S32" s="184"/>
      <c r="T32" s="184"/>
      <c r="U32" s="184"/>
      <c r="V32" s="184"/>
      <c r="W32" s="133"/>
      <c r="X32" s="133"/>
      <c r="Y32" s="133"/>
      <c r="Z32" s="133"/>
      <c r="AA32" s="133"/>
      <c r="AB32" s="134"/>
      <c r="AC32" s="134"/>
    </row>
    <row r="33" spans="2:29" ht="12.75" customHeight="1" x14ac:dyDescent="0.25">
      <c r="B33" s="178"/>
      <c r="C33" s="178"/>
      <c r="D33" s="134"/>
      <c r="E33" s="185"/>
      <c r="F33" s="186"/>
      <c r="G33" s="186"/>
      <c r="H33" s="134"/>
      <c r="I33" s="134"/>
      <c r="J33" s="187"/>
      <c r="K33" s="187"/>
      <c r="L33" s="187"/>
      <c r="M33" s="187"/>
      <c r="N33" s="187"/>
      <c r="O33" s="187"/>
      <c r="P33" s="187"/>
      <c r="Q33" s="187"/>
      <c r="R33" s="187"/>
      <c r="S33" s="187"/>
      <c r="T33" s="187"/>
      <c r="U33" s="187"/>
      <c r="V33" s="187"/>
      <c r="W33" s="133"/>
      <c r="X33" s="133"/>
      <c r="Y33" s="133"/>
      <c r="Z33" s="133"/>
      <c r="AA33" s="133"/>
      <c r="AB33" s="134"/>
      <c r="AC33" s="134"/>
    </row>
    <row r="34" spans="2:29" ht="12.75" customHeight="1" x14ac:dyDescent="0.25">
      <c r="B34" s="178"/>
      <c r="C34" s="178"/>
      <c r="D34" s="134"/>
      <c r="E34" s="185"/>
      <c r="F34" s="186"/>
      <c r="G34" s="186"/>
      <c r="H34" s="134"/>
      <c r="I34" s="134"/>
      <c r="J34" s="187"/>
      <c r="K34" s="187"/>
      <c r="L34" s="187"/>
      <c r="M34" s="187"/>
      <c r="N34" s="187"/>
      <c r="O34" s="187"/>
      <c r="P34" s="187"/>
      <c r="Q34" s="187"/>
      <c r="R34" s="187"/>
      <c r="S34" s="187"/>
      <c r="T34" s="187"/>
      <c r="U34" s="187"/>
      <c r="V34" s="187"/>
      <c r="W34" s="133"/>
      <c r="X34" s="133"/>
      <c r="Y34" s="133"/>
      <c r="Z34" s="133"/>
      <c r="AA34" s="133"/>
      <c r="AB34" s="134"/>
      <c r="AC34" s="134"/>
    </row>
    <row r="35" spans="2:29" ht="12.75" customHeight="1" x14ac:dyDescent="0.25">
      <c r="B35" s="178"/>
      <c r="C35" s="178"/>
      <c r="D35" s="134"/>
      <c r="E35" s="185"/>
      <c r="F35" s="186"/>
      <c r="G35" s="186"/>
      <c r="H35" s="134"/>
      <c r="I35" s="134"/>
      <c r="J35" s="187"/>
      <c r="K35" s="187"/>
      <c r="L35" s="187"/>
      <c r="M35" s="187"/>
      <c r="N35" s="187"/>
      <c r="O35" s="187"/>
      <c r="P35" s="187"/>
      <c r="Q35" s="187"/>
      <c r="R35" s="187"/>
      <c r="S35" s="187"/>
      <c r="T35" s="187"/>
      <c r="U35" s="187"/>
      <c r="V35" s="187"/>
      <c r="W35" s="133"/>
      <c r="X35" s="133"/>
      <c r="Y35" s="133"/>
      <c r="Z35" s="133"/>
      <c r="AA35" s="133"/>
      <c r="AB35" s="134"/>
      <c r="AC35" s="134"/>
    </row>
    <row r="36" spans="2:29" ht="12.75" customHeight="1" x14ac:dyDescent="0.25">
      <c r="B36" s="178"/>
      <c r="C36" s="178"/>
      <c r="D36" s="134"/>
      <c r="E36" s="185"/>
      <c r="F36" s="186"/>
      <c r="G36" s="186"/>
      <c r="H36" s="134"/>
      <c r="I36" s="134"/>
      <c r="J36" s="187"/>
      <c r="K36" s="187"/>
      <c r="L36" s="187"/>
      <c r="M36" s="187"/>
      <c r="N36" s="187"/>
      <c r="O36" s="187"/>
      <c r="P36" s="187"/>
      <c r="Q36" s="187"/>
      <c r="R36" s="187"/>
      <c r="S36" s="187"/>
      <c r="T36" s="187"/>
      <c r="U36" s="187"/>
      <c r="V36" s="187"/>
      <c r="W36" s="133"/>
      <c r="X36" s="133"/>
      <c r="Y36" s="133"/>
      <c r="Z36" s="133"/>
      <c r="AA36" s="133"/>
      <c r="AB36" s="134"/>
      <c r="AC36" s="134"/>
    </row>
    <row r="37" spans="2:29" ht="12.75" customHeight="1" x14ac:dyDescent="0.25">
      <c r="B37" s="178"/>
      <c r="C37" s="178"/>
      <c r="D37" s="134"/>
      <c r="E37" s="185"/>
      <c r="F37" s="186"/>
      <c r="G37" s="186"/>
      <c r="H37" s="134"/>
      <c r="I37" s="134"/>
      <c r="J37" s="187"/>
      <c r="K37" s="187"/>
      <c r="L37" s="187"/>
      <c r="M37" s="187"/>
      <c r="N37" s="187"/>
      <c r="O37" s="187"/>
      <c r="P37" s="187"/>
      <c r="Q37" s="187"/>
      <c r="R37" s="187"/>
      <c r="S37" s="187"/>
      <c r="T37" s="187"/>
      <c r="U37" s="187"/>
      <c r="V37" s="187"/>
      <c r="W37" s="133"/>
      <c r="X37" s="133"/>
      <c r="Y37" s="133"/>
      <c r="Z37" s="133"/>
      <c r="AA37" s="133"/>
      <c r="AB37" s="134"/>
      <c r="AC37" s="134"/>
    </row>
    <row r="38" spans="2:29" ht="12.75" customHeight="1" x14ac:dyDescent="0.25">
      <c r="B38" s="178"/>
      <c r="C38" s="178"/>
      <c r="D38" s="134"/>
      <c r="E38" s="185"/>
      <c r="F38" s="186"/>
      <c r="G38" s="186"/>
      <c r="H38" s="134"/>
      <c r="I38" s="134"/>
      <c r="J38" s="187"/>
      <c r="K38" s="187"/>
      <c r="L38" s="187"/>
      <c r="M38" s="187"/>
      <c r="N38" s="187"/>
      <c r="O38" s="187"/>
      <c r="P38" s="187"/>
      <c r="Q38" s="187"/>
      <c r="R38" s="187"/>
      <c r="S38" s="187"/>
      <c r="T38" s="187"/>
      <c r="U38" s="187"/>
      <c r="V38" s="187"/>
      <c r="W38" s="133"/>
      <c r="X38" s="133"/>
      <c r="Y38" s="133"/>
      <c r="Z38" s="133"/>
      <c r="AA38" s="133"/>
      <c r="AB38" s="134"/>
      <c r="AC38" s="134"/>
    </row>
    <row r="39" spans="2:29" ht="12.75" customHeight="1" x14ac:dyDescent="0.25">
      <c r="B39" s="178"/>
      <c r="C39" s="178"/>
      <c r="D39" s="134"/>
      <c r="E39" s="185"/>
      <c r="F39" s="186"/>
      <c r="G39" s="186"/>
      <c r="H39" s="134"/>
      <c r="I39" s="134"/>
      <c r="J39" s="187"/>
      <c r="K39" s="187"/>
      <c r="L39" s="187"/>
      <c r="M39" s="187"/>
      <c r="N39" s="187"/>
      <c r="O39" s="187"/>
      <c r="P39" s="187"/>
      <c r="Q39" s="187"/>
      <c r="R39" s="187"/>
      <c r="S39" s="187"/>
      <c r="T39" s="187"/>
      <c r="U39" s="187"/>
      <c r="V39" s="187"/>
      <c r="W39" s="133"/>
      <c r="X39" s="133"/>
      <c r="Y39" s="133"/>
      <c r="Z39" s="133"/>
      <c r="AA39" s="133"/>
      <c r="AB39" s="134"/>
      <c r="AC39" s="134"/>
    </row>
    <row r="40" spans="2:29" ht="12.75" customHeight="1" x14ac:dyDescent="0.25">
      <c r="B40" s="178"/>
      <c r="C40" s="178"/>
      <c r="D40" s="134"/>
      <c r="E40" s="185"/>
      <c r="F40" s="186"/>
      <c r="G40" s="186"/>
      <c r="H40" s="134"/>
      <c r="I40" s="134"/>
      <c r="J40" s="187"/>
      <c r="K40" s="187"/>
      <c r="L40" s="187"/>
      <c r="M40" s="187"/>
      <c r="N40" s="187"/>
      <c r="O40" s="187"/>
      <c r="P40" s="187"/>
      <c r="Q40" s="187"/>
      <c r="R40" s="187"/>
      <c r="S40" s="187"/>
      <c r="T40" s="187"/>
      <c r="U40" s="187"/>
      <c r="V40" s="187"/>
      <c r="W40" s="133"/>
      <c r="X40" s="133"/>
      <c r="Y40" s="133"/>
      <c r="Z40" s="133"/>
      <c r="AA40" s="133"/>
      <c r="AB40" s="134"/>
      <c r="AC40" s="134"/>
    </row>
    <row r="41" spans="2:29" ht="12.75" customHeight="1" x14ac:dyDescent="0.25">
      <c r="B41" s="178"/>
      <c r="C41" s="178"/>
      <c r="D41" s="134"/>
      <c r="E41" s="185"/>
      <c r="F41" s="186"/>
      <c r="G41" s="186"/>
      <c r="H41" s="134"/>
      <c r="I41" s="134"/>
      <c r="J41" s="187"/>
      <c r="K41" s="187"/>
      <c r="L41" s="187"/>
      <c r="M41" s="187"/>
      <c r="N41" s="187"/>
      <c r="O41" s="187"/>
      <c r="P41" s="187"/>
      <c r="Q41" s="187"/>
      <c r="R41" s="187"/>
      <c r="S41" s="187"/>
      <c r="T41" s="187"/>
      <c r="U41" s="187"/>
      <c r="V41" s="187"/>
      <c r="W41" s="133"/>
      <c r="X41" s="133"/>
      <c r="Y41" s="133"/>
      <c r="Z41" s="133"/>
      <c r="AA41" s="133"/>
      <c r="AB41" s="134"/>
      <c r="AC41" s="134"/>
    </row>
    <row r="42" spans="2:29" ht="12.75" customHeight="1" x14ac:dyDescent="0.25">
      <c r="B42" s="178"/>
      <c r="C42" s="178"/>
      <c r="D42" s="134"/>
      <c r="E42" s="185"/>
      <c r="F42" s="186"/>
      <c r="G42" s="186"/>
      <c r="H42" s="134"/>
      <c r="I42" s="134"/>
      <c r="J42" s="187"/>
      <c r="K42" s="187"/>
      <c r="L42" s="187"/>
      <c r="M42" s="187"/>
      <c r="N42" s="187"/>
      <c r="O42" s="187"/>
      <c r="P42" s="187"/>
      <c r="Q42" s="187"/>
      <c r="R42" s="187"/>
      <c r="S42" s="187"/>
      <c r="T42" s="187"/>
      <c r="U42" s="187"/>
      <c r="V42" s="187"/>
      <c r="W42" s="133"/>
      <c r="X42" s="133"/>
      <c r="Y42" s="133"/>
      <c r="Z42" s="133"/>
      <c r="AA42" s="133"/>
      <c r="AB42" s="134"/>
      <c r="AC42" s="134"/>
    </row>
    <row r="43" spans="2:29" ht="12.75" customHeight="1" x14ac:dyDescent="0.25">
      <c r="B43" s="178"/>
      <c r="C43" s="178"/>
      <c r="D43" s="134"/>
      <c r="E43" s="185"/>
      <c r="F43" s="186"/>
      <c r="G43" s="186"/>
      <c r="H43" s="134"/>
      <c r="I43" s="134"/>
      <c r="J43" s="187"/>
      <c r="K43" s="187"/>
      <c r="L43" s="187"/>
      <c r="M43" s="187"/>
      <c r="N43" s="187"/>
      <c r="O43" s="187"/>
      <c r="P43" s="187"/>
      <c r="Q43" s="187"/>
      <c r="R43" s="187"/>
      <c r="S43" s="187"/>
      <c r="T43" s="187"/>
      <c r="U43" s="187"/>
      <c r="V43" s="187"/>
      <c r="W43" s="133"/>
      <c r="X43" s="133"/>
      <c r="Y43" s="133"/>
      <c r="Z43" s="133"/>
      <c r="AA43" s="133"/>
      <c r="AB43" s="134"/>
      <c r="AC43" s="134"/>
    </row>
    <row r="44" spans="2:29" ht="12.75" customHeight="1" x14ac:dyDescent="0.25">
      <c r="B44" s="178"/>
      <c r="C44" s="178"/>
      <c r="D44" s="134"/>
      <c r="E44" s="185"/>
      <c r="F44" s="186"/>
      <c r="G44" s="186"/>
      <c r="H44" s="134"/>
      <c r="I44" s="134"/>
      <c r="J44" s="187"/>
      <c r="K44" s="187"/>
      <c r="L44" s="187"/>
      <c r="M44" s="187"/>
      <c r="N44" s="187"/>
      <c r="O44" s="187"/>
      <c r="P44" s="187"/>
      <c r="Q44" s="187"/>
      <c r="R44" s="187"/>
      <c r="S44" s="187"/>
      <c r="T44" s="187"/>
      <c r="U44" s="187"/>
      <c r="V44" s="187"/>
      <c r="W44" s="133"/>
      <c r="X44" s="133"/>
      <c r="Y44" s="133"/>
      <c r="Z44" s="133"/>
      <c r="AA44" s="133"/>
      <c r="AB44" s="134"/>
      <c r="AC44" s="134"/>
    </row>
    <row r="45" spans="2:29" ht="12.75" customHeight="1" x14ac:dyDescent="0.25">
      <c r="B45" s="178"/>
      <c r="C45" s="178"/>
      <c r="D45" s="134"/>
      <c r="E45" s="185"/>
      <c r="F45" s="186"/>
      <c r="G45" s="186"/>
      <c r="H45" s="134"/>
      <c r="I45" s="134"/>
      <c r="J45" s="187"/>
      <c r="K45" s="187"/>
      <c r="L45" s="187"/>
      <c r="M45" s="187"/>
      <c r="N45" s="187"/>
      <c r="O45" s="187"/>
      <c r="P45" s="187"/>
      <c r="Q45" s="187"/>
      <c r="R45" s="187"/>
      <c r="S45" s="187"/>
      <c r="T45" s="187"/>
      <c r="U45" s="187"/>
      <c r="V45" s="187"/>
      <c r="W45" s="133"/>
      <c r="X45" s="133"/>
      <c r="Y45" s="133"/>
      <c r="Z45" s="133"/>
      <c r="AA45" s="133"/>
      <c r="AB45" s="134"/>
      <c r="AC45" s="134"/>
    </row>
    <row r="46" spans="2:29" ht="12.75" customHeight="1" x14ac:dyDescent="0.25">
      <c r="B46" s="178"/>
      <c r="C46" s="178"/>
      <c r="D46" s="134"/>
      <c r="E46" s="185"/>
      <c r="F46" s="186"/>
      <c r="G46" s="186"/>
      <c r="H46" s="134"/>
      <c r="I46" s="134"/>
      <c r="J46" s="187"/>
      <c r="K46" s="187"/>
      <c r="L46" s="187"/>
      <c r="M46" s="187"/>
      <c r="N46" s="187"/>
      <c r="O46" s="187"/>
      <c r="P46" s="187"/>
      <c r="Q46" s="187"/>
      <c r="R46" s="187"/>
      <c r="S46" s="187"/>
      <c r="T46" s="187"/>
      <c r="U46" s="187"/>
      <c r="V46" s="187"/>
      <c r="W46" s="133"/>
      <c r="X46" s="133"/>
      <c r="Y46" s="133"/>
      <c r="Z46" s="133"/>
      <c r="AA46" s="133"/>
      <c r="AB46" s="134"/>
      <c r="AC46" s="134"/>
    </row>
    <row r="47" spans="2:29" ht="12.75" customHeight="1" x14ac:dyDescent="0.25">
      <c r="B47" s="178"/>
      <c r="C47" s="178"/>
      <c r="D47" s="134"/>
      <c r="E47" s="185"/>
      <c r="F47" s="186"/>
      <c r="G47" s="186"/>
      <c r="H47" s="134"/>
      <c r="I47" s="134"/>
      <c r="J47" s="187"/>
      <c r="K47" s="187"/>
      <c r="L47" s="187"/>
      <c r="M47" s="187"/>
      <c r="N47" s="187"/>
      <c r="O47" s="187"/>
      <c r="P47" s="187"/>
      <c r="Q47" s="187"/>
      <c r="R47" s="187"/>
      <c r="S47" s="187"/>
      <c r="T47" s="187"/>
      <c r="U47" s="187"/>
      <c r="V47" s="187"/>
      <c r="W47" s="133"/>
      <c r="X47" s="133"/>
      <c r="Y47" s="133"/>
      <c r="Z47" s="133"/>
      <c r="AA47" s="133"/>
      <c r="AB47" s="134"/>
      <c r="AC47" s="134"/>
    </row>
    <row r="48" spans="2:29" ht="12.75" customHeight="1" x14ac:dyDescent="0.25">
      <c r="B48" s="178"/>
      <c r="C48" s="178"/>
      <c r="D48" s="134"/>
      <c r="E48" s="185"/>
      <c r="F48" s="186"/>
      <c r="G48" s="186"/>
      <c r="H48" s="134"/>
      <c r="I48" s="134"/>
      <c r="J48" s="187"/>
      <c r="K48" s="187"/>
      <c r="L48" s="187"/>
      <c r="M48" s="187"/>
      <c r="N48" s="187"/>
      <c r="O48" s="187"/>
      <c r="P48" s="187"/>
      <c r="Q48" s="187"/>
      <c r="R48" s="187"/>
      <c r="S48" s="187"/>
      <c r="T48" s="187"/>
      <c r="U48" s="187"/>
      <c r="V48" s="187"/>
      <c r="W48" s="133"/>
      <c r="X48" s="133"/>
      <c r="Y48" s="133"/>
      <c r="Z48" s="133"/>
      <c r="AA48" s="133"/>
      <c r="AB48" s="134"/>
      <c r="AC48" s="134"/>
    </row>
    <row r="49" spans="2:29" ht="12.75" customHeight="1" x14ac:dyDescent="0.25">
      <c r="B49" s="178"/>
      <c r="C49" s="178"/>
      <c r="D49" s="134"/>
      <c r="E49" s="185"/>
      <c r="F49" s="186"/>
      <c r="G49" s="186"/>
      <c r="H49" s="134"/>
      <c r="I49" s="134"/>
      <c r="J49" s="187"/>
      <c r="K49" s="187"/>
      <c r="L49" s="187"/>
      <c r="M49" s="187"/>
      <c r="N49" s="187"/>
      <c r="O49" s="187"/>
      <c r="P49" s="187"/>
      <c r="Q49" s="187"/>
      <c r="R49" s="187"/>
      <c r="S49" s="187"/>
      <c r="T49" s="187"/>
      <c r="U49" s="187"/>
      <c r="V49" s="187"/>
      <c r="W49" s="133"/>
      <c r="X49" s="133"/>
      <c r="Y49" s="133"/>
      <c r="Z49" s="133"/>
      <c r="AA49" s="133"/>
      <c r="AB49" s="134"/>
      <c r="AC49" s="134"/>
    </row>
    <row r="50" spans="2:29" ht="12.75" customHeight="1" x14ac:dyDescent="0.25">
      <c r="B50" s="178"/>
      <c r="C50" s="178"/>
      <c r="D50" s="134"/>
      <c r="E50" s="185"/>
      <c r="F50" s="186"/>
      <c r="G50" s="186"/>
      <c r="H50" s="134"/>
      <c r="I50" s="134"/>
      <c r="J50" s="187"/>
      <c r="K50" s="187"/>
      <c r="L50" s="187"/>
      <c r="M50" s="187"/>
      <c r="N50" s="187"/>
      <c r="O50" s="187"/>
      <c r="P50" s="187"/>
      <c r="Q50" s="187"/>
      <c r="R50" s="187"/>
      <c r="S50" s="187"/>
      <c r="T50" s="187"/>
      <c r="U50" s="187"/>
      <c r="V50" s="187"/>
      <c r="W50" s="133"/>
      <c r="X50" s="133"/>
      <c r="Y50" s="133"/>
      <c r="Z50" s="133"/>
      <c r="AA50" s="133"/>
      <c r="AB50" s="134"/>
      <c r="AC50" s="134"/>
    </row>
    <row r="51" spans="2:29" ht="12.75" customHeight="1" x14ac:dyDescent="0.25">
      <c r="B51" s="178"/>
      <c r="C51" s="178"/>
      <c r="D51" s="134"/>
      <c r="E51" s="185"/>
      <c r="F51" s="186"/>
      <c r="G51" s="186"/>
      <c r="H51" s="134"/>
      <c r="I51" s="134"/>
      <c r="J51" s="187"/>
      <c r="K51" s="187"/>
      <c r="L51" s="187"/>
      <c r="M51" s="187"/>
      <c r="N51" s="187"/>
      <c r="O51" s="187"/>
      <c r="P51" s="187"/>
      <c r="Q51" s="187"/>
      <c r="R51" s="187"/>
      <c r="S51" s="187"/>
      <c r="T51" s="187"/>
      <c r="U51" s="187"/>
      <c r="V51" s="187"/>
      <c r="W51" s="133"/>
      <c r="X51" s="133"/>
      <c r="Y51" s="133"/>
      <c r="Z51" s="133"/>
      <c r="AA51" s="133"/>
      <c r="AB51" s="134"/>
      <c r="AC51" s="134"/>
    </row>
    <row r="52" spans="2:29" ht="12.75" customHeight="1" x14ac:dyDescent="0.25">
      <c r="B52" s="178"/>
      <c r="C52" s="178"/>
      <c r="D52" s="134"/>
      <c r="E52" s="185"/>
      <c r="F52" s="186"/>
      <c r="G52" s="186"/>
      <c r="H52" s="134"/>
      <c r="I52" s="134"/>
      <c r="J52" s="187"/>
      <c r="K52" s="187"/>
      <c r="L52" s="187"/>
      <c r="M52" s="187"/>
      <c r="N52" s="187"/>
      <c r="O52" s="187"/>
      <c r="P52" s="187"/>
      <c r="Q52" s="187"/>
      <c r="R52" s="187"/>
      <c r="S52" s="187"/>
      <c r="T52" s="187"/>
      <c r="U52" s="187"/>
      <c r="V52" s="187"/>
      <c r="W52" s="133"/>
      <c r="X52" s="133"/>
      <c r="Y52" s="133"/>
      <c r="Z52" s="133"/>
      <c r="AA52" s="133"/>
      <c r="AB52" s="134"/>
      <c r="AC52" s="134"/>
    </row>
    <row r="53" spans="2:29" ht="12.75" customHeight="1" x14ac:dyDescent="0.25">
      <c r="B53" s="178"/>
      <c r="C53" s="178"/>
      <c r="D53" s="134"/>
      <c r="E53" s="185"/>
      <c r="F53" s="186"/>
      <c r="G53" s="186"/>
      <c r="H53" s="134"/>
      <c r="I53" s="134"/>
      <c r="J53" s="187"/>
      <c r="K53" s="187"/>
      <c r="L53" s="187"/>
      <c r="M53" s="187"/>
      <c r="N53" s="187"/>
      <c r="O53" s="187"/>
      <c r="P53" s="187"/>
      <c r="Q53" s="187"/>
      <c r="R53" s="187"/>
      <c r="S53" s="187"/>
      <c r="T53" s="187"/>
      <c r="U53" s="187"/>
      <c r="V53" s="187"/>
      <c r="W53" s="133"/>
      <c r="X53" s="133"/>
      <c r="Y53" s="133"/>
      <c r="Z53" s="133"/>
      <c r="AA53" s="133"/>
      <c r="AB53" s="134"/>
      <c r="AC53" s="134"/>
    </row>
    <row r="54" spans="2:29" ht="12.75" customHeight="1" x14ac:dyDescent="0.25">
      <c r="B54" s="178"/>
      <c r="C54" s="178"/>
      <c r="D54" s="134"/>
      <c r="E54" s="185"/>
      <c r="F54" s="186"/>
      <c r="G54" s="186"/>
      <c r="H54" s="134"/>
      <c r="I54" s="134"/>
      <c r="J54" s="187"/>
      <c r="K54" s="187"/>
      <c r="L54" s="187"/>
      <c r="M54" s="187"/>
      <c r="N54" s="187"/>
      <c r="O54" s="187"/>
      <c r="P54" s="187"/>
      <c r="Q54" s="187"/>
      <c r="R54" s="187"/>
      <c r="S54" s="187"/>
      <c r="T54" s="187"/>
      <c r="U54" s="187"/>
      <c r="V54" s="187"/>
      <c r="W54" s="133"/>
      <c r="X54" s="133"/>
      <c r="Y54" s="133"/>
      <c r="Z54" s="133"/>
      <c r="AA54" s="133"/>
      <c r="AB54" s="134"/>
      <c r="AC54" s="134"/>
    </row>
    <row r="55" spans="2:29" ht="12.75" customHeight="1" x14ac:dyDescent="0.25">
      <c r="B55" s="178"/>
      <c r="C55" s="178"/>
      <c r="D55" s="134"/>
      <c r="E55" s="185"/>
      <c r="F55" s="186"/>
      <c r="G55" s="186"/>
      <c r="H55" s="134"/>
      <c r="I55" s="134"/>
      <c r="J55" s="187"/>
      <c r="K55" s="187"/>
      <c r="L55" s="187"/>
      <c r="M55" s="187"/>
      <c r="N55" s="187"/>
      <c r="O55" s="187"/>
      <c r="P55" s="187"/>
      <c r="Q55" s="187"/>
      <c r="R55" s="187"/>
      <c r="S55" s="187"/>
      <c r="T55" s="187"/>
      <c r="U55" s="187"/>
      <c r="V55" s="187"/>
      <c r="W55" s="133"/>
      <c r="X55" s="133"/>
      <c r="Y55" s="133"/>
      <c r="Z55" s="133"/>
      <c r="AA55" s="133"/>
      <c r="AB55" s="134"/>
      <c r="AC55" s="134"/>
    </row>
    <row r="56" spans="2:29" ht="12.75" customHeight="1" x14ac:dyDescent="0.25">
      <c r="B56" s="178"/>
      <c r="C56" s="178"/>
      <c r="D56" s="134"/>
      <c r="E56" s="185"/>
      <c r="F56" s="186"/>
      <c r="G56" s="186"/>
      <c r="H56" s="134"/>
      <c r="I56" s="134"/>
      <c r="J56" s="187"/>
      <c r="K56" s="187"/>
      <c r="L56" s="187"/>
      <c r="M56" s="187"/>
      <c r="N56" s="187"/>
      <c r="O56" s="187"/>
      <c r="P56" s="187"/>
      <c r="Q56" s="187"/>
      <c r="R56" s="187"/>
      <c r="S56" s="187"/>
      <c r="T56" s="187"/>
      <c r="U56" s="187"/>
      <c r="V56" s="187"/>
      <c r="W56" s="133"/>
      <c r="X56" s="133"/>
      <c r="Y56" s="133"/>
      <c r="Z56" s="133"/>
      <c r="AA56" s="133"/>
      <c r="AB56" s="134"/>
      <c r="AC56" s="134"/>
    </row>
    <row r="57" spans="2:29" ht="12.75" customHeight="1" x14ac:dyDescent="0.25">
      <c r="B57" s="178"/>
      <c r="C57" s="178"/>
      <c r="D57" s="134"/>
      <c r="E57" s="185"/>
      <c r="F57" s="186"/>
      <c r="G57" s="186"/>
      <c r="H57" s="134"/>
      <c r="I57" s="134"/>
      <c r="J57" s="187"/>
      <c r="K57" s="187"/>
      <c r="L57" s="187"/>
      <c r="M57" s="187"/>
      <c r="N57" s="187"/>
      <c r="O57" s="187"/>
      <c r="P57" s="187"/>
      <c r="Q57" s="187"/>
      <c r="R57" s="187"/>
      <c r="S57" s="187"/>
      <c r="T57" s="187"/>
      <c r="U57" s="187"/>
      <c r="V57" s="187"/>
      <c r="W57" s="133"/>
      <c r="X57" s="133"/>
      <c r="Y57" s="133"/>
      <c r="Z57" s="133"/>
      <c r="AA57" s="133"/>
      <c r="AB57" s="134"/>
      <c r="AC57" s="134"/>
    </row>
    <row r="58" spans="2:29" ht="12.75" customHeight="1" x14ac:dyDescent="0.25">
      <c r="B58" s="178"/>
      <c r="C58" s="178"/>
      <c r="D58" s="134"/>
      <c r="E58" s="185"/>
      <c r="F58" s="186"/>
      <c r="G58" s="186"/>
      <c r="H58" s="134"/>
      <c r="I58" s="134"/>
      <c r="J58" s="187"/>
      <c r="K58" s="187"/>
      <c r="L58" s="187"/>
      <c r="M58" s="187"/>
      <c r="N58" s="187"/>
      <c r="O58" s="187"/>
      <c r="P58" s="187"/>
      <c r="Q58" s="187"/>
      <c r="R58" s="187"/>
      <c r="S58" s="187"/>
      <c r="T58" s="187"/>
      <c r="U58" s="187"/>
      <c r="V58" s="187"/>
      <c r="W58" s="133"/>
      <c r="X58" s="133"/>
      <c r="Y58" s="133"/>
      <c r="Z58" s="133"/>
      <c r="AA58" s="133"/>
      <c r="AB58" s="134"/>
      <c r="AC58" s="134"/>
    </row>
    <row r="59" spans="2:29" ht="12.75" customHeight="1" x14ac:dyDescent="0.25">
      <c r="B59" s="178"/>
      <c r="C59" s="178"/>
      <c r="D59" s="134"/>
      <c r="E59" s="185"/>
      <c r="F59" s="186"/>
      <c r="G59" s="186"/>
      <c r="H59" s="134"/>
      <c r="I59" s="134"/>
      <c r="J59" s="187"/>
      <c r="K59" s="187"/>
      <c r="L59" s="187"/>
      <c r="M59" s="187"/>
      <c r="N59" s="187"/>
      <c r="O59" s="187"/>
      <c r="P59" s="187"/>
      <c r="Q59" s="187"/>
      <c r="R59" s="187"/>
      <c r="S59" s="187"/>
      <c r="T59" s="187"/>
      <c r="U59" s="187"/>
      <c r="V59" s="187"/>
      <c r="W59" s="133"/>
      <c r="X59" s="133"/>
      <c r="Y59" s="133"/>
      <c r="Z59" s="133"/>
      <c r="AA59" s="133"/>
      <c r="AB59" s="134"/>
      <c r="AC59" s="134"/>
    </row>
    <row r="60" spans="2:29" ht="12.75" customHeight="1" x14ac:dyDescent="0.25">
      <c r="B60" s="178"/>
      <c r="C60" s="178"/>
      <c r="D60" s="134"/>
      <c r="E60" s="185"/>
      <c r="F60" s="186"/>
      <c r="G60" s="186"/>
      <c r="H60" s="134"/>
      <c r="I60" s="134"/>
      <c r="J60" s="187"/>
      <c r="K60" s="187"/>
      <c r="L60" s="187"/>
      <c r="M60" s="187"/>
      <c r="N60" s="187"/>
      <c r="O60" s="187"/>
      <c r="P60" s="187"/>
      <c r="Q60" s="187"/>
      <c r="R60" s="187"/>
      <c r="S60" s="187"/>
      <c r="T60" s="187"/>
      <c r="U60" s="187"/>
      <c r="V60" s="187"/>
      <c r="W60" s="133"/>
      <c r="X60" s="133"/>
      <c r="Y60" s="133"/>
      <c r="Z60" s="133"/>
      <c r="AA60" s="133"/>
      <c r="AB60" s="134"/>
      <c r="AC60" s="134"/>
    </row>
    <row r="61" spans="2:29" ht="12.75" customHeight="1" x14ac:dyDescent="0.25">
      <c r="B61" s="178"/>
      <c r="C61" s="178"/>
      <c r="D61" s="134"/>
      <c r="E61" s="185"/>
      <c r="F61" s="186"/>
      <c r="G61" s="186"/>
      <c r="H61" s="134"/>
      <c r="I61" s="134"/>
      <c r="J61" s="187"/>
      <c r="K61" s="187"/>
      <c r="L61" s="187"/>
      <c r="M61" s="187"/>
      <c r="N61" s="187"/>
      <c r="O61" s="187"/>
      <c r="P61" s="187"/>
      <c r="Q61" s="187"/>
      <c r="R61" s="187"/>
      <c r="S61" s="187"/>
      <c r="T61" s="187"/>
      <c r="U61" s="187"/>
      <c r="V61" s="187"/>
      <c r="W61" s="133"/>
      <c r="X61" s="133"/>
      <c r="Y61" s="133"/>
      <c r="Z61" s="133"/>
      <c r="AA61" s="133"/>
      <c r="AB61" s="134"/>
      <c r="AC61" s="134"/>
    </row>
    <row r="62" spans="2:29" ht="12.75" customHeight="1" x14ac:dyDescent="0.25">
      <c r="B62" s="178"/>
      <c r="C62" s="178"/>
      <c r="D62" s="134"/>
      <c r="E62" s="185"/>
      <c r="F62" s="186"/>
      <c r="G62" s="186"/>
      <c r="H62" s="134"/>
      <c r="I62" s="134"/>
      <c r="J62" s="187"/>
      <c r="K62" s="187"/>
      <c r="L62" s="187"/>
      <c r="M62" s="187"/>
      <c r="N62" s="187"/>
      <c r="O62" s="187"/>
      <c r="P62" s="187"/>
      <c r="Q62" s="187"/>
      <c r="R62" s="187"/>
      <c r="S62" s="187"/>
      <c r="T62" s="187"/>
      <c r="U62" s="187"/>
      <c r="V62" s="187"/>
      <c r="W62" s="133"/>
      <c r="X62" s="133"/>
      <c r="Y62" s="133"/>
      <c r="Z62" s="133"/>
      <c r="AA62" s="133"/>
      <c r="AB62" s="134"/>
      <c r="AC62" s="134"/>
    </row>
    <row r="63" spans="2:29" ht="12.75" customHeight="1" x14ac:dyDescent="0.25">
      <c r="B63" s="178"/>
      <c r="C63" s="178"/>
      <c r="D63" s="134"/>
      <c r="E63" s="185"/>
      <c r="F63" s="186"/>
      <c r="G63" s="186"/>
      <c r="H63" s="134"/>
      <c r="I63" s="134"/>
      <c r="J63" s="187"/>
      <c r="K63" s="187"/>
      <c r="L63" s="187"/>
      <c r="M63" s="187"/>
      <c r="N63" s="187"/>
      <c r="O63" s="187"/>
      <c r="P63" s="187"/>
      <c r="Q63" s="187"/>
      <c r="R63" s="187"/>
      <c r="S63" s="187"/>
      <c r="T63" s="187"/>
      <c r="U63" s="187"/>
      <c r="V63" s="187"/>
      <c r="W63" s="133"/>
      <c r="X63" s="133"/>
      <c r="Y63" s="133"/>
      <c r="Z63" s="133"/>
      <c r="AA63" s="133"/>
      <c r="AB63" s="134"/>
      <c r="AC63" s="134"/>
    </row>
    <row r="64" spans="2:29" ht="12.75" customHeight="1" x14ac:dyDescent="0.25">
      <c r="B64" s="178"/>
      <c r="C64" s="178"/>
      <c r="D64" s="134"/>
      <c r="E64" s="185"/>
      <c r="F64" s="186"/>
      <c r="G64" s="186"/>
      <c r="H64" s="134"/>
      <c r="I64" s="134"/>
      <c r="J64" s="187"/>
      <c r="K64" s="187"/>
      <c r="L64" s="187"/>
      <c r="M64" s="187"/>
      <c r="N64" s="187"/>
      <c r="O64" s="187"/>
      <c r="P64" s="187"/>
      <c r="Q64" s="187"/>
      <c r="R64" s="187"/>
      <c r="S64" s="187"/>
      <c r="T64" s="187"/>
      <c r="U64" s="187"/>
      <c r="V64" s="187"/>
      <c r="W64" s="133"/>
      <c r="X64" s="133"/>
      <c r="Y64" s="133"/>
      <c r="Z64" s="133"/>
      <c r="AA64" s="133"/>
      <c r="AB64" s="134"/>
      <c r="AC64" s="134"/>
    </row>
    <row r="65" spans="2:29" ht="12.75" customHeight="1" x14ac:dyDescent="0.25">
      <c r="B65" s="178"/>
      <c r="C65" s="178"/>
      <c r="D65" s="134"/>
      <c r="E65" s="185"/>
      <c r="F65" s="186"/>
      <c r="G65" s="186"/>
      <c r="H65" s="134"/>
      <c r="I65" s="134"/>
      <c r="J65" s="187"/>
      <c r="K65" s="187"/>
      <c r="L65" s="187"/>
      <c r="M65" s="187"/>
      <c r="N65" s="187"/>
      <c r="O65" s="187"/>
      <c r="P65" s="187"/>
      <c r="Q65" s="187"/>
      <c r="R65" s="187"/>
      <c r="S65" s="187"/>
      <c r="T65" s="187"/>
      <c r="U65" s="187"/>
      <c r="V65" s="187"/>
      <c r="W65" s="133"/>
      <c r="X65" s="133"/>
      <c r="Y65" s="133"/>
      <c r="Z65" s="133"/>
      <c r="AA65" s="133"/>
      <c r="AB65" s="134"/>
      <c r="AC65" s="134"/>
    </row>
    <row r="66" spans="2:29" ht="12.75" customHeight="1" x14ac:dyDescent="0.25">
      <c r="B66" s="178"/>
      <c r="C66" s="178"/>
      <c r="D66" s="134"/>
      <c r="E66" s="185"/>
      <c r="F66" s="186"/>
      <c r="G66" s="186"/>
      <c r="H66" s="134"/>
      <c r="I66" s="134"/>
      <c r="J66" s="187"/>
      <c r="K66" s="187"/>
      <c r="L66" s="187"/>
      <c r="M66" s="187"/>
      <c r="N66" s="187"/>
      <c r="O66" s="187"/>
      <c r="P66" s="187"/>
      <c r="Q66" s="187"/>
      <c r="R66" s="187"/>
      <c r="S66" s="187"/>
      <c r="T66" s="187"/>
      <c r="U66" s="187"/>
      <c r="V66" s="187"/>
      <c r="W66" s="133"/>
      <c r="X66" s="133"/>
      <c r="Y66" s="133"/>
      <c r="Z66" s="133"/>
      <c r="AA66" s="133"/>
      <c r="AB66" s="134"/>
      <c r="AC66" s="134"/>
    </row>
    <row r="67" spans="2:29" ht="12.75" customHeight="1" x14ac:dyDescent="0.25">
      <c r="B67" s="178"/>
      <c r="C67" s="178"/>
      <c r="D67" s="134"/>
      <c r="E67" s="185"/>
      <c r="F67" s="186"/>
      <c r="G67" s="186"/>
      <c r="H67" s="134"/>
      <c r="I67" s="134"/>
      <c r="J67" s="187"/>
      <c r="K67" s="187"/>
      <c r="L67" s="187"/>
      <c r="M67" s="187"/>
      <c r="N67" s="187"/>
      <c r="O67" s="187"/>
      <c r="P67" s="187"/>
      <c r="Q67" s="187"/>
      <c r="R67" s="187"/>
      <c r="S67" s="187"/>
      <c r="T67" s="187"/>
      <c r="U67" s="187"/>
      <c r="V67" s="187"/>
      <c r="W67" s="133"/>
      <c r="X67" s="133"/>
      <c r="Y67" s="133"/>
      <c r="Z67" s="133"/>
      <c r="AA67" s="133"/>
      <c r="AB67" s="134"/>
      <c r="AC67" s="134"/>
    </row>
    <row r="68" spans="2:29" ht="12.75" customHeight="1" x14ac:dyDescent="0.25">
      <c r="B68" s="178"/>
      <c r="C68" s="178"/>
      <c r="D68" s="134"/>
      <c r="E68" s="185"/>
      <c r="F68" s="186"/>
      <c r="G68" s="186"/>
      <c r="H68" s="134"/>
      <c r="I68" s="134"/>
      <c r="J68" s="187"/>
      <c r="K68" s="187"/>
      <c r="L68" s="187"/>
      <c r="M68" s="187"/>
      <c r="N68" s="187"/>
      <c r="O68" s="187"/>
      <c r="P68" s="187"/>
      <c r="Q68" s="187"/>
      <c r="R68" s="187"/>
      <c r="S68" s="187"/>
      <c r="T68" s="187"/>
      <c r="U68" s="187"/>
      <c r="V68" s="187"/>
      <c r="W68" s="133"/>
      <c r="X68" s="133"/>
      <c r="Y68" s="133"/>
      <c r="Z68" s="133"/>
      <c r="AA68" s="133"/>
      <c r="AB68" s="134"/>
      <c r="AC68" s="134"/>
    </row>
    <row r="69" spans="2:29" ht="12.75" customHeight="1" x14ac:dyDescent="0.25">
      <c r="B69" s="178"/>
      <c r="C69" s="178"/>
      <c r="D69" s="134"/>
      <c r="E69" s="185"/>
      <c r="F69" s="186"/>
      <c r="G69" s="186"/>
      <c r="H69" s="134"/>
      <c r="I69" s="134"/>
      <c r="J69" s="187"/>
      <c r="K69" s="187"/>
      <c r="L69" s="187"/>
      <c r="M69" s="187"/>
      <c r="N69" s="187"/>
      <c r="O69" s="187"/>
      <c r="P69" s="187"/>
      <c r="Q69" s="187"/>
      <c r="R69" s="187"/>
      <c r="S69" s="187"/>
      <c r="T69" s="187"/>
      <c r="U69" s="187"/>
      <c r="V69" s="187"/>
      <c r="W69" s="133"/>
      <c r="X69" s="133"/>
      <c r="Y69" s="133"/>
      <c r="Z69" s="133"/>
      <c r="AA69" s="133"/>
      <c r="AB69" s="134"/>
      <c r="AC69" s="134"/>
    </row>
    <row r="70" spans="2:29" ht="12.75" customHeight="1" x14ac:dyDescent="0.25">
      <c r="B70" s="178"/>
      <c r="C70" s="178"/>
      <c r="D70" s="134"/>
      <c r="E70" s="185"/>
      <c r="F70" s="186"/>
      <c r="G70" s="186"/>
      <c r="H70" s="134"/>
      <c r="I70" s="134"/>
      <c r="J70" s="187"/>
      <c r="K70" s="187"/>
      <c r="L70" s="187"/>
      <c r="M70" s="187"/>
      <c r="N70" s="187"/>
      <c r="O70" s="187"/>
      <c r="P70" s="187"/>
      <c r="Q70" s="187"/>
      <c r="R70" s="187"/>
      <c r="S70" s="187"/>
      <c r="T70" s="187"/>
      <c r="U70" s="187"/>
      <c r="V70" s="187"/>
      <c r="W70" s="133"/>
      <c r="X70" s="133"/>
      <c r="Y70" s="133"/>
      <c r="Z70" s="133"/>
      <c r="AA70" s="133"/>
      <c r="AB70" s="134"/>
      <c r="AC70" s="134"/>
    </row>
    <row r="71" spans="2:29" ht="12.75" customHeight="1" x14ac:dyDescent="0.25">
      <c r="B71" s="178"/>
      <c r="C71" s="178"/>
      <c r="D71" s="134"/>
      <c r="E71" s="185"/>
      <c r="F71" s="186"/>
      <c r="G71" s="186"/>
      <c r="H71" s="134"/>
      <c r="I71" s="134"/>
      <c r="J71" s="187"/>
      <c r="K71" s="187"/>
      <c r="L71" s="187"/>
      <c r="M71" s="187"/>
      <c r="N71" s="187"/>
      <c r="O71" s="187"/>
      <c r="P71" s="187"/>
      <c r="Q71" s="187"/>
      <c r="R71" s="187"/>
      <c r="S71" s="187"/>
      <c r="T71" s="187"/>
      <c r="U71" s="187"/>
      <c r="V71" s="187"/>
      <c r="W71" s="133"/>
      <c r="X71" s="133"/>
      <c r="Y71" s="133"/>
      <c r="Z71" s="133"/>
      <c r="AA71" s="133"/>
      <c r="AB71" s="134"/>
      <c r="AC71" s="134"/>
    </row>
    <row r="72" spans="2:29" ht="12.75" customHeight="1" x14ac:dyDescent="0.25">
      <c r="B72" s="178"/>
      <c r="C72" s="178"/>
      <c r="D72" s="134"/>
      <c r="E72" s="185"/>
      <c r="F72" s="186"/>
      <c r="G72" s="186"/>
      <c r="H72" s="134"/>
      <c r="I72" s="134"/>
      <c r="J72" s="187"/>
      <c r="K72" s="187"/>
      <c r="L72" s="187"/>
      <c r="M72" s="187"/>
      <c r="N72" s="187"/>
      <c r="O72" s="187"/>
      <c r="P72" s="187"/>
      <c r="Q72" s="187"/>
      <c r="R72" s="187"/>
      <c r="S72" s="187"/>
      <c r="T72" s="187"/>
      <c r="U72" s="187"/>
      <c r="V72" s="187"/>
      <c r="W72" s="133"/>
      <c r="X72" s="133"/>
      <c r="Y72" s="133"/>
      <c r="Z72" s="133"/>
      <c r="AA72" s="133"/>
      <c r="AB72" s="134"/>
      <c r="AC72" s="134"/>
    </row>
    <row r="73" spans="2:29" ht="12.75" customHeight="1" x14ac:dyDescent="0.25">
      <c r="B73" s="178"/>
      <c r="C73" s="178"/>
      <c r="D73" s="134"/>
      <c r="E73" s="185"/>
      <c r="F73" s="186"/>
      <c r="G73" s="186"/>
      <c r="H73" s="134"/>
      <c r="I73" s="134"/>
      <c r="J73" s="187"/>
      <c r="K73" s="187"/>
      <c r="L73" s="187"/>
      <c r="M73" s="187"/>
      <c r="N73" s="187"/>
      <c r="O73" s="187"/>
      <c r="P73" s="187"/>
      <c r="Q73" s="187"/>
      <c r="R73" s="187"/>
      <c r="S73" s="187"/>
      <c r="T73" s="187"/>
      <c r="U73" s="187"/>
      <c r="V73" s="187"/>
      <c r="W73" s="133"/>
      <c r="X73" s="133"/>
      <c r="Y73" s="133"/>
      <c r="Z73" s="133"/>
      <c r="AA73" s="133"/>
      <c r="AB73" s="134"/>
      <c r="AC73" s="134"/>
    </row>
    <row r="74" spans="2:29" ht="12.75" customHeight="1" x14ac:dyDescent="0.25">
      <c r="B74" s="178"/>
      <c r="C74" s="178"/>
      <c r="D74" s="134"/>
      <c r="E74" s="185"/>
      <c r="F74" s="186"/>
      <c r="G74" s="186"/>
      <c r="H74" s="134"/>
      <c r="I74" s="134"/>
      <c r="J74" s="187"/>
      <c r="K74" s="187"/>
      <c r="L74" s="187"/>
      <c r="M74" s="187"/>
      <c r="N74" s="187"/>
      <c r="O74" s="187"/>
      <c r="P74" s="187"/>
      <c r="Q74" s="187"/>
      <c r="R74" s="187"/>
      <c r="S74" s="187"/>
      <c r="T74" s="187"/>
      <c r="U74" s="187"/>
      <c r="V74" s="187"/>
      <c r="W74" s="133"/>
      <c r="X74" s="133"/>
      <c r="Y74" s="133"/>
      <c r="Z74" s="133"/>
      <c r="AA74" s="133"/>
      <c r="AB74" s="134"/>
      <c r="AC74" s="134"/>
    </row>
    <row r="75" spans="2:29" ht="12.75" customHeight="1" x14ac:dyDescent="0.25">
      <c r="B75" s="178"/>
      <c r="C75" s="178"/>
      <c r="D75" s="134"/>
      <c r="E75" s="185"/>
      <c r="F75" s="186"/>
      <c r="G75" s="186"/>
      <c r="H75" s="134"/>
      <c r="I75" s="134"/>
      <c r="J75" s="187"/>
      <c r="K75" s="187"/>
      <c r="L75" s="187"/>
      <c r="M75" s="187"/>
      <c r="N75" s="187"/>
      <c r="O75" s="187"/>
      <c r="P75" s="187"/>
      <c r="Q75" s="187"/>
      <c r="R75" s="187"/>
      <c r="S75" s="187"/>
      <c r="T75" s="187"/>
      <c r="U75" s="187"/>
      <c r="V75" s="187"/>
      <c r="W75" s="133"/>
      <c r="X75" s="133"/>
      <c r="Y75" s="133"/>
      <c r="Z75" s="133"/>
      <c r="AA75" s="133"/>
      <c r="AB75" s="134"/>
      <c r="AC75" s="134"/>
    </row>
    <row r="76" spans="2:29" ht="12.75" customHeight="1" x14ac:dyDescent="0.25">
      <c r="B76" s="178"/>
      <c r="C76" s="178"/>
      <c r="D76" s="134"/>
      <c r="E76" s="185"/>
      <c r="F76" s="186"/>
      <c r="G76" s="186"/>
      <c r="H76" s="134"/>
      <c r="I76" s="134"/>
      <c r="J76" s="187"/>
      <c r="K76" s="187"/>
      <c r="L76" s="187"/>
      <c r="M76" s="187"/>
      <c r="N76" s="187"/>
      <c r="O76" s="187"/>
      <c r="P76" s="187"/>
      <c r="Q76" s="187"/>
      <c r="R76" s="187"/>
      <c r="S76" s="187"/>
      <c r="T76" s="187"/>
      <c r="U76" s="187"/>
      <c r="V76" s="187"/>
      <c r="W76" s="133"/>
      <c r="X76" s="133"/>
      <c r="Y76" s="133"/>
      <c r="Z76" s="133"/>
      <c r="AA76" s="133"/>
      <c r="AB76" s="134"/>
      <c r="AC76" s="134"/>
    </row>
    <row r="77" spans="2:29" ht="12.75" customHeight="1" x14ac:dyDescent="0.25">
      <c r="B77" s="178"/>
      <c r="C77" s="178"/>
      <c r="D77" s="134"/>
      <c r="E77" s="185"/>
      <c r="F77" s="186"/>
      <c r="G77" s="186"/>
      <c r="H77" s="134"/>
      <c r="I77" s="134"/>
      <c r="J77" s="187"/>
      <c r="K77" s="187"/>
      <c r="L77" s="187"/>
      <c r="M77" s="187"/>
      <c r="N77" s="187"/>
      <c r="O77" s="187"/>
      <c r="P77" s="187"/>
      <c r="Q77" s="187"/>
      <c r="R77" s="187"/>
      <c r="S77" s="187"/>
      <c r="T77" s="187"/>
      <c r="U77" s="187"/>
      <c r="V77" s="187"/>
      <c r="W77" s="133"/>
      <c r="X77" s="133"/>
      <c r="Y77" s="133"/>
      <c r="Z77" s="133"/>
      <c r="AA77" s="133"/>
      <c r="AB77" s="134"/>
      <c r="AC77" s="134"/>
    </row>
    <row r="78" spans="2:29" ht="12.75" customHeight="1" x14ac:dyDescent="0.25">
      <c r="B78" s="178"/>
      <c r="C78" s="178"/>
      <c r="D78" s="134"/>
      <c r="E78" s="185"/>
      <c r="F78" s="186"/>
      <c r="G78" s="186"/>
      <c r="H78" s="134"/>
      <c r="I78" s="134"/>
      <c r="J78" s="187"/>
      <c r="K78" s="187"/>
      <c r="L78" s="187"/>
      <c r="M78" s="187"/>
      <c r="N78" s="187"/>
      <c r="O78" s="187"/>
      <c r="P78" s="187"/>
      <c r="Q78" s="187"/>
      <c r="R78" s="187"/>
      <c r="S78" s="187"/>
      <c r="T78" s="187"/>
      <c r="U78" s="187"/>
      <c r="V78" s="187"/>
      <c r="W78" s="133"/>
      <c r="X78" s="133"/>
      <c r="Y78" s="133"/>
      <c r="Z78" s="133"/>
      <c r="AA78" s="133"/>
      <c r="AB78" s="134"/>
      <c r="AC78" s="134"/>
    </row>
    <row r="79" spans="2:29" ht="12.75" customHeight="1" x14ac:dyDescent="0.25">
      <c r="B79" s="178"/>
      <c r="C79" s="178"/>
      <c r="D79" s="134"/>
      <c r="E79" s="185"/>
      <c r="F79" s="186"/>
      <c r="G79" s="186"/>
      <c r="H79" s="134"/>
      <c r="I79" s="134"/>
      <c r="J79" s="187"/>
      <c r="K79" s="187"/>
      <c r="L79" s="187"/>
      <c r="M79" s="187"/>
      <c r="N79" s="187"/>
      <c r="O79" s="187"/>
      <c r="P79" s="187"/>
      <c r="Q79" s="187"/>
      <c r="R79" s="187"/>
      <c r="S79" s="187"/>
      <c r="T79" s="187"/>
      <c r="U79" s="187"/>
      <c r="V79" s="187"/>
      <c r="W79" s="133"/>
      <c r="X79" s="133"/>
      <c r="Y79" s="133"/>
      <c r="Z79" s="133"/>
      <c r="AA79" s="133"/>
      <c r="AB79" s="134"/>
      <c r="AC79" s="134"/>
    </row>
    <row r="80" spans="2:29" ht="12.75" customHeight="1" x14ac:dyDescent="0.25">
      <c r="B80" s="178"/>
      <c r="C80" s="178"/>
      <c r="D80" s="134"/>
      <c r="E80" s="185"/>
      <c r="F80" s="186"/>
      <c r="G80" s="186"/>
      <c r="H80" s="134"/>
      <c r="I80" s="134"/>
      <c r="J80" s="187"/>
      <c r="K80" s="187"/>
      <c r="L80" s="187"/>
      <c r="M80" s="187"/>
      <c r="N80" s="187"/>
      <c r="O80" s="187"/>
      <c r="P80" s="187"/>
      <c r="Q80" s="187"/>
      <c r="R80" s="187"/>
      <c r="S80" s="187"/>
      <c r="T80" s="187"/>
      <c r="U80" s="187"/>
      <c r="V80" s="187"/>
      <c r="W80" s="133"/>
      <c r="X80" s="133"/>
      <c r="Y80" s="133"/>
      <c r="Z80" s="133"/>
      <c r="AA80" s="133"/>
      <c r="AB80" s="134"/>
      <c r="AC80" s="134"/>
    </row>
    <row r="81" spans="2:29" ht="12.75" customHeight="1" x14ac:dyDescent="0.25">
      <c r="B81" s="178"/>
      <c r="C81" s="178"/>
      <c r="D81" s="134"/>
      <c r="E81" s="185"/>
      <c r="F81" s="186"/>
      <c r="G81" s="186"/>
      <c r="H81" s="134"/>
      <c r="I81" s="134"/>
      <c r="J81" s="187"/>
      <c r="K81" s="187"/>
      <c r="L81" s="187"/>
      <c r="M81" s="187"/>
      <c r="N81" s="187"/>
      <c r="O81" s="187"/>
      <c r="P81" s="187"/>
      <c r="Q81" s="187"/>
      <c r="R81" s="187"/>
      <c r="S81" s="187"/>
      <c r="T81" s="187"/>
      <c r="U81" s="187"/>
      <c r="V81" s="187"/>
      <c r="W81" s="133"/>
      <c r="X81" s="133"/>
      <c r="Y81" s="133"/>
      <c r="Z81" s="133"/>
      <c r="AA81" s="133"/>
      <c r="AB81" s="134"/>
      <c r="AC81" s="134"/>
    </row>
    <row r="82" spans="2:29" ht="12.75" customHeight="1" x14ac:dyDescent="0.25">
      <c r="B82" s="178"/>
      <c r="C82" s="178"/>
      <c r="D82" s="134"/>
      <c r="E82" s="185"/>
      <c r="F82" s="186"/>
      <c r="G82" s="186"/>
      <c r="H82" s="134"/>
      <c r="I82" s="134"/>
      <c r="J82" s="187"/>
      <c r="K82" s="187"/>
      <c r="L82" s="187"/>
      <c r="M82" s="187"/>
      <c r="N82" s="187"/>
      <c r="O82" s="187"/>
      <c r="P82" s="187"/>
      <c r="Q82" s="187"/>
      <c r="R82" s="187"/>
      <c r="S82" s="187"/>
      <c r="T82" s="187"/>
      <c r="U82" s="187"/>
      <c r="V82" s="187"/>
      <c r="W82" s="133"/>
      <c r="X82" s="133"/>
      <c r="Y82" s="133"/>
      <c r="Z82" s="133"/>
      <c r="AA82" s="133"/>
      <c r="AB82" s="134"/>
      <c r="AC82" s="134"/>
    </row>
    <row r="83" spans="2:29" ht="12.75" customHeight="1" x14ac:dyDescent="0.25">
      <c r="B83" s="178"/>
      <c r="C83" s="178"/>
      <c r="D83" s="134"/>
      <c r="E83" s="185"/>
      <c r="F83" s="186"/>
      <c r="G83" s="186"/>
      <c r="H83" s="134"/>
      <c r="I83" s="134"/>
      <c r="J83" s="187"/>
      <c r="K83" s="187"/>
      <c r="L83" s="187"/>
      <c r="M83" s="187"/>
      <c r="N83" s="187"/>
      <c r="O83" s="187"/>
      <c r="P83" s="187"/>
      <c r="Q83" s="187"/>
      <c r="R83" s="187"/>
      <c r="S83" s="187"/>
      <c r="T83" s="187"/>
      <c r="U83" s="187"/>
      <c r="V83" s="187"/>
      <c r="W83" s="133"/>
      <c r="X83" s="133"/>
      <c r="Y83" s="133"/>
      <c r="Z83" s="133"/>
      <c r="AA83" s="133"/>
      <c r="AB83" s="134"/>
      <c r="AC83" s="134"/>
    </row>
  </sheetData>
  <mergeCells count="12">
    <mergeCell ref="K3:O3"/>
    <mergeCell ref="B1:O1"/>
    <mergeCell ref="B2:O2"/>
    <mergeCell ref="D16:I16"/>
    <mergeCell ref="D25:W25"/>
    <mergeCell ref="F3:J3"/>
    <mergeCell ref="D26:W26"/>
    <mergeCell ref="B6:B10"/>
    <mergeCell ref="C6:C9"/>
    <mergeCell ref="B11:B15"/>
    <mergeCell ref="C11:C12"/>
    <mergeCell ref="C13:C15"/>
  </mergeCells>
  <pageMargins left="0.7" right="0.7" top="0.75" bottom="0.75" header="0.3" footer="0.3"/>
  <pageSetup paperSize="9" scale="30" orientation="portrait" r:id="rId1"/>
  <headerFooter>
    <oddHeader>&amp;CBPIN 20220214000041 REPOSICIÓN DE CUBIERTA EN LA INSTITUCIÓN EDUCATIVA AGRICOLA DE ARGELIA SEDE PRINCIPAL, NIÑAS, GABRIEL GARCIA MÁRQUEZ, CENTRO DE JÓVENES E INSTITUCIÓN EDUCATIVA BOTAFOGO MUNICIPIO DE  ARGELIA, CAUCA</oddHeader>
    <oddFooter>&amp;CDirección: Calle 26N # 7c-45; Celular: 3012730678 - 3217177544 
email: dazarquitectura.19@gmail.com; procesosylicitaciones@hotmail.com</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AA83D-A355-4BEF-897D-C1B4D06544AE}">
  <sheetPr>
    <pageSetUpPr fitToPage="1"/>
  </sheetPr>
  <dimension ref="A1:J14"/>
  <sheetViews>
    <sheetView zoomScaleNormal="100" zoomScaleSheetLayoutView="90" workbookViewId="0">
      <selection activeCell="H16" sqref="H16"/>
    </sheetView>
  </sheetViews>
  <sheetFormatPr baseColWidth="10" defaultRowHeight="15" x14ac:dyDescent="0.25"/>
  <cols>
    <col min="1" max="1" width="3.85546875" customWidth="1"/>
    <col min="2" max="2" width="48.42578125" customWidth="1"/>
    <col min="3" max="3" width="9.5703125" customWidth="1"/>
    <col min="4" max="4" width="12.42578125" customWidth="1"/>
    <col min="5" max="6" width="16" customWidth="1"/>
    <col min="7" max="7" width="14.7109375" bestFit="1" customWidth="1"/>
    <col min="8" max="8" width="13.5703125" customWidth="1"/>
    <col min="10" max="10" width="14" bestFit="1" customWidth="1"/>
  </cols>
  <sheetData>
    <row r="1" spans="1:10" ht="14.45" customHeight="1" x14ac:dyDescent="0.25">
      <c r="B1" s="636" t="s">
        <v>0</v>
      </c>
      <c r="C1" s="636"/>
      <c r="D1" s="636"/>
      <c r="E1" s="636"/>
      <c r="F1" s="636"/>
      <c r="G1" s="636"/>
      <c r="H1" s="306"/>
    </row>
    <row r="2" spans="1:10" x14ac:dyDescent="0.25">
      <c r="A2" s="305"/>
      <c r="B2" s="636"/>
      <c r="C2" s="636"/>
      <c r="D2" s="636"/>
      <c r="E2" s="636"/>
      <c r="F2" s="636"/>
      <c r="G2" s="636"/>
      <c r="H2" s="306"/>
    </row>
    <row r="3" spans="1:10" x14ac:dyDescent="0.25">
      <c r="A3" s="305"/>
      <c r="B3" s="636"/>
      <c r="C3" s="636"/>
      <c r="D3" s="636"/>
      <c r="E3" s="636"/>
      <c r="F3" s="636"/>
      <c r="G3" s="636"/>
      <c r="H3" s="306"/>
    </row>
    <row r="5" spans="1:10" ht="15.75" thickBot="1" x14ac:dyDescent="0.3"/>
    <row r="6" spans="1:10" ht="17.25" thickBot="1" x14ac:dyDescent="0.3">
      <c r="B6" s="643" t="s">
        <v>134</v>
      </c>
      <c r="C6" s="644"/>
      <c r="D6" s="644"/>
      <c r="E6" s="644"/>
      <c r="F6" s="644"/>
      <c r="G6" s="644"/>
      <c r="H6" s="644"/>
      <c r="I6" s="644"/>
      <c r="J6" s="645"/>
    </row>
    <row r="7" spans="1:10" ht="17.25" thickBot="1" x14ac:dyDescent="0.3">
      <c r="B7" s="318"/>
      <c r="C7" s="319"/>
      <c r="D7" s="319"/>
      <c r="E7" s="637" t="s">
        <v>30</v>
      </c>
      <c r="F7" s="638"/>
      <c r="G7" s="639"/>
      <c r="H7" s="640" t="s">
        <v>31</v>
      </c>
      <c r="I7" s="641"/>
      <c r="J7" s="642"/>
    </row>
    <row r="8" spans="1:10" ht="17.25" thickBot="1" x14ac:dyDescent="0.3">
      <c r="B8" s="643" t="s">
        <v>177</v>
      </c>
      <c r="C8" s="644"/>
      <c r="D8" s="645"/>
      <c r="E8" s="330" t="s">
        <v>175</v>
      </c>
      <c r="F8" s="329" t="s">
        <v>35</v>
      </c>
      <c r="G8" s="307" t="s">
        <v>176</v>
      </c>
      <c r="H8" s="327" t="s">
        <v>175</v>
      </c>
      <c r="I8" s="328" t="s">
        <v>35</v>
      </c>
      <c r="J8" s="308" t="s">
        <v>176</v>
      </c>
    </row>
    <row r="9" spans="1:10" ht="48" customHeight="1" x14ac:dyDescent="0.25">
      <c r="B9" s="630" t="s">
        <v>135</v>
      </c>
      <c r="C9" s="631"/>
      <c r="D9" s="632"/>
      <c r="E9" s="331">
        <v>3000000</v>
      </c>
      <c r="F9" s="320">
        <v>1</v>
      </c>
      <c r="G9" s="321">
        <v>3000000</v>
      </c>
      <c r="H9" s="343">
        <v>3000000</v>
      </c>
      <c r="I9" s="344">
        <v>1</v>
      </c>
      <c r="J9" s="321">
        <v>3000000</v>
      </c>
    </row>
    <row r="10" spans="1:10" ht="16.5" customHeight="1" x14ac:dyDescent="0.25">
      <c r="B10" s="345" t="s">
        <v>136</v>
      </c>
      <c r="C10" s="346"/>
      <c r="D10" s="346"/>
      <c r="E10" s="332">
        <f>+(1300606)*6</f>
        <v>7803636</v>
      </c>
      <c r="F10" s="313" t="s">
        <v>137</v>
      </c>
      <c r="G10" s="314">
        <f>+E10*11</f>
        <v>85839996</v>
      </c>
      <c r="H10" s="310">
        <f>+(1160000)*4</f>
        <v>4640000</v>
      </c>
      <c r="I10" s="313" t="s">
        <v>137</v>
      </c>
      <c r="J10" s="314">
        <f>+H10*11</f>
        <v>51040000</v>
      </c>
    </row>
    <row r="11" spans="1:10" ht="16.5" x14ac:dyDescent="0.25">
      <c r="B11" s="311" t="s">
        <v>138</v>
      </c>
      <c r="C11" s="312"/>
      <c r="D11" s="312"/>
      <c r="E11" s="333"/>
      <c r="F11" s="316"/>
      <c r="G11" s="314">
        <f>+G10+G9</f>
        <v>88839996</v>
      </c>
      <c r="H11" s="315"/>
      <c r="I11" s="316"/>
      <c r="J11" s="314">
        <f>+J10+J9</f>
        <v>54040000</v>
      </c>
    </row>
    <row r="12" spans="1:10" ht="17.25" thickBot="1" x14ac:dyDescent="0.3">
      <c r="B12" s="322" t="s">
        <v>139</v>
      </c>
      <c r="C12" s="323"/>
      <c r="D12" s="323"/>
      <c r="E12" s="334"/>
      <c r="F12" s="325"/>
      <c r="G12" s="326">
        <f>+G11*19%</f>
        <v>16879599.239999998</v>
      </c>
      <c r="H12" s="324"/>
      <c r="I12" s="325"/>
      <c r="J12" s="326">
        <f>+J11*19%</f>
        <v>10267600</v>
      </c>
    </row>
    <row r="13" spans="1:10" ht="17.25" thickBot="1" x14ac:dyDescent="0.3">
      <c r="B13" s="646" t="s">
        <v>140</v>
      </c>
      <c r="C13" s="647"/>
      <c r="D13" s="647"/>
      <c r="E13" s="335"/>
      <c r="F13" s="336"/>
      <c r="G13" s="337">
        <f>+G12+G11</f>
        <v>105719595.23999999</v>
      </c>
      <c r="H13" s="317"/>
      <c r="I13" s="317"/>
      <c r="J13" s="338">
        <f>+J12+J11</f>
        <v>64307600</v>
      </c>
    </row>
    <row r="14" spans="1:10" ht="17.25" thickBot="1" x14ac:dyDescent="0.3">
      <c r="B14" s="633"/>
      <c r="C14" s="634"/>
      <c r="D14" s="635"/>
      <c r="E14" s="339"/>
      <c r="F14" s="340"/>
      <c r="G14" s="341"/>
      <c r="H14" s="225"/>
      <c r="I14" s="225"/>
      <c r="J14" s="342"/>
    </row>
  </sheetData>
  <mergeCells count="8">
    <mergeCell ref="B9:D9"/>
    <mergeCell ref="B14:D14"/>
    <mergeCell ref="B1:G3"/>
    <mergeCell ref="E7:G7"/>
    <mergeCell ref="H7:J7"/>
    <mergeCell ref="B6:J6"/>
    <mergeCell ref="B13:D13"/>
    <mergeCell ref="B8:D8"/>
  </mergeCells>
  <pageMargins left="0.7" right="0.7" top="0.75" bottom="0.75" header="0.3" footer="0.3"/>
  <pageSetup paperSize="122"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8</vt:i4>
      </vt:variant>
    </vt:vector>
  </HeadingPairs>
  <TitlesOfParts>
    <vt:vector size="16" baseType="lpstr">
      <vt:lpstr>INICIAL</vt:lpstr>
      <vt:lpstr>AJUSTADO</vt:lpstr>
      <vt:lpstr>COMPARATIVO</vt:lpstr>
      <vt:lpstr>PTO obra</vt:lpstr>
      <vt:lpstr>INTERVENTORIA</vt:lpstr>
      <vt:lpstr>GERENCIA</vt:lpstr>
      <vt:lpstr>PMA</vt:lpstr>
      <vt:lpstr>FIDUCIA</vt:lpstr>
      <vt:lpstr>AJUSTADO!Área_de_impresión</vt:lpstr>
      <vt:lpstr>COMPARATIVO!Área_de_impresión</vt:lpstr>
      <vt:lpstr>FIDUCIA!Área_de_impresión</vt:lpstr>
      <vt:lpstr>GERENCIA!Área_de_impresión</vt:lpstr>
      <vt:lpstr>INICIAL!Área_de_impresión</vt:lpstr>
      <vt:lpstr>INTERVENTORIA!Área_de_impresión</vt:lpstr>
      <vt:lpstr>PMA!Área_de_impresión</vt:lpstr>
      <vt:lpstr>'PTO obra'!Área_de_impresión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dc:creator>
  <cp:lastModifiedBy>ISA</cp:lastModifiedBy>
  <cp:lastPrinted>2023-07-28T21:37:23Z</cp:lastPrinted>
  <dcterms:created xsi:type="dcterms:W3CDTF">2023-07-25T16:14:45Z</dcterms:created>
  <dcterms:modified xsi:type="dcterms:W3CDTF">2023-08-04T21:31:58Z</dcterms:modified>
</cp:coreProperties>
</file>